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30" yWindow="30" windowWidth="13575" windowHeight="12195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F27" i="7" l="1"/>
  <c r="H27" i="7"/>
  <c r="I27" i="7"/>
  <c r="J27" i="7"/>
  <c r="Q27" i="7" s="1"/>
  <c r="K27" i="7"/>
  <c r="L27" i="7"/>
  <c r="M27" i="7"/>
  <c r="N27" i="7"/>
  <c r="O27" i="7"/>
  <c r="P27" i="7"/>
  <c r="R27" i="7"/>
  <c r="X27" i="7" s="1"/>
  <c r="S27" i="7"/>
  <c r="T27" i="7"/>
  <c r="U27" i="7"/>
  <c r="V27" i="7"/>
  <c r="W27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<sst xmlns="http://schemas.openxmlformats.org/spreadsheetml/2006/main" count="1377" uniqueCount="682">
  <si>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</si>
  <si>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</si>
  <si>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</si>
  <si>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</si>
  <si>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</si>
  <si>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</si>
  <si>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</si>
  <si>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</si>
  <si>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</si>
  <si>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</si>
  <si>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</si>
  <si>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</si>
  <si>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</si>
  <si>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</si>
  <si>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</si>
  <si>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</si>
  <si>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</si>
  <si>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</si>
  <si>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</si>
  <si>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</si>
  <si>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</si>
  <si>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</si>
  <si>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</si>
  <si>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</si>
  <si>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</si>
  <si>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</si>
  <si>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</si>
  <si>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</si>
  <si>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</si>
  <si>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</si>
  <si>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</si>
  <si>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</si>
  <si>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</si>
  <si>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</si>
  <si>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</si>
  <si>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</si>
  <si>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</si>
  <si>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</si>
  <si>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</si>
  <si>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</si>
  <si>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</si>
  <si>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</si>
  <si>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</si>
  <si>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</si>
  <si>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</si>
  <si>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</si>
  <si>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</si>
  <si>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</si>
  <si>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</si>
  <si>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</si>
  <si>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</si>
  <si>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</si>
  <si>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</si>
  <si>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</si>
  <si>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</si>
  <si>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</si>
  <si>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</si>
  <si>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</si>
  <si>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</si>
  <si>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</si>
  <si>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</si>
  <si>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</si>
  <si>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</si>
  <si>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</si>
  <si>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</si>
  <si>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</si>
  <si>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</si>
  <si>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</si>
  <si>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</si>
  <si>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</si>
  <si>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</si>
  <si>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</si>
  <si>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</si>
  <si>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</si>
  <si>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</si>
  <si>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</si>
  <si>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</si>
  <si>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</si>
  <si>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</si>
  <si>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</si>
  <si>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</si>
  <si>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</si>
  <si>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</si>
  <si>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</si>
  <si>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</si>
  <si>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</si>
  <si>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</si>
  <si>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</si>
  <si>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</si>
  <si>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</si>
  <si>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</si>
  <si>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</si>
  <si>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</si>
  <si>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</si>
  <si>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</si>
  <si>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</si>
  <si>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</si>
  <si>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</si>
  <si>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</si>
  <si>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</si>
  <si>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</si>
  <si>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</si>
  <si>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</si>
  <si>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</si>
  <si>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</si>
  <si>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</si>
  <si>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</si>
  <si>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</si>
  <si>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</si>
  <si>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</si>
  <si>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</si>
  <si>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</si>
  <si>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</si>
  <si>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</si>
  <si>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</si>
  <si>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</si>
  <si>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</si>
  <si>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</si>
  <si>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</si>
  <si>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</si>
  <si>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</si>
  <si>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</si>
  <si>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</si>
  <si>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</si>
  <si>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</si>
  <si>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</si>
  <si>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</si>
  <si>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</si>
  <si>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</si>
  <si>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</si>
  <si>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</si>
  <si>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</si>
  <si>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</si>
  <si>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</si>
  <si>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</si>
  <si>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</si>
  <si>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</si>
  <si>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</si>
  <si>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</si>
  <si>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</si>
  <si>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</si>
  <si>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</si>
  <si>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</si>
  <si>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</si>
  <si>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</si>
  <si>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</si>
  <si>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</si>
  <si>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</si>
  <si>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</si>
  <si>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</si>
  <si>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</si>
  <si>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</si>
  <si>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</si>
  <si>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</si>
  <si>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</si>
  <si>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</si>
  <si>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</si>
  <si>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</si>
  <si>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</si>
  <si>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</si>
  <si>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</si>
  <si>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</si>
  <si>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</si>
  <si>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</si>
  <si>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</si>
  <si>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</si>
  <si>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</si>
  <si>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</si>
  <si>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</si>
  <si>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</si>
  <si>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</si>
  <si>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</si>
  <si>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</si>
  <si>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</si>
  <si>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</si>
  <si>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</si>
  <si>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</si>
  <si>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</si>
  <si>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</si>
  <si>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</si>
  <si>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</si>
  <si>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</si>
  <si>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</si>
  <si>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</si>
  <si>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</si>
  <si>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</si>
  <si>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</si>
  <si>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</si>
  <si>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</si>
  <si>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</si>
  <si>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</si>
  <si>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</si>
  <si>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</si>
  <si>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</si>
  <si>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</si>
  <si>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</si>
  <si>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</si>
  <si>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</si>
  <si>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</si>
  <si>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</si>
  <si>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</si>
  <si>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</si>
  <si>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</si>
  <si>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</si>
  <si>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</si>
  <si>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</si>
  <si>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</si>
  <si>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</si>
  <si>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</si>
  <si>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</si>
  <si>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</si>
  <si>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</si>
  <si>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</si>
  <si>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</si>
  <si>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</si>
  <si>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</si>
  <si>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</si>
  <si>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</si>
  <si>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</si>
  <si>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</si>
  <si>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</si>
  <si>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</si>
  <si>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</si>
  <si>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</si>
  <si>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</si>
  <si>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</si>
  <si>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</si>
  <si>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</si>
  <si>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</si>
  <si>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</si>
  <si>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</si>
  <si>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</si>
  <si>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</si>
  <si>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</si>
  <si>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</si>
  <si>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</si>
  <si>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</si>
  <si>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</si>
  <si>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</si>
  <si>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</si>
  <si>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</si>
  <si>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</si>
  <si>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</si>
  <si>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</si>
  <si>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</si>
  <si>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</si>
  <si>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</si>
  <si>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</si>
  <si>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</si>
  <si>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</si>
  <si>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</si>
  <si>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</si>
  <si>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</si>
  <si>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</si>
  <si>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</si>
  <si>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</si>
  <si>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</si>
  <si>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</si>
  <si>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</si>
  <si>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</si>
  <si>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</si>
  <si>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</si>
  <si>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</si>
  <si>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</si>
  <si>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</si>
  <si>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</si>
  <si>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</si>
  <si>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</si>
  <si>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</si>
  <si>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</si>
  <si>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</si>
  <si>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</si>
  <si>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</si>
  <si>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</si>
  <si>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</si>
  <si>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</si>
  <si>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</si>
  <si>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</si>
  <si>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</si>
  <si>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</si>
  <si>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</si>
  <si>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</si>
  <si>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</si>
  <si>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</si>
  <si>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</si>
  <si>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</si>
  <si>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</si>
  <si>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</si>
  <si>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</si>
  <si>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</si>
  <si>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</si>
  <si>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</si>
  <si>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</si>
  <si>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</si>
  <si>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</si>
  <si>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</si>
  <si>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</si>
  <si>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</si>
  <si>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</si>
  <si>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</si>
  <si>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</si>
  <si>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</si>
  <si>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</si>
  <si>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</si>
  <si>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</si>
  <si>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</si>
  <si>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</si>
  <si>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</si>
  <si>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</si>
  <si>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</si>
  <si>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</si>
  <si>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</si>
  <si>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</si>
  <si>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</si>
  <si>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</si>
  <si>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</si>
  <si>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</si>
  <si>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</si>
  <si>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</si>
  <si>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</si>
  <si>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</si>
  <si>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</si>
  <si>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</si>
  <si>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</si>
  <si>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</si>
  <si>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</si>
  <si>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</si>
  <si>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</si>
  <si>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</si>
  <si>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</si>
  <si>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</si>
  <si>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</si>
  <si>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</si>
  <si>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</si>
  <si>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</si>
  <si>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</si>
  <si>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</si>
  <si>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</si>
  <si>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</si>
  <si>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</si>
  <si>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</si>
  <si>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</si>
  <si>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</si>
  <si>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</si>
  <si>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</si>
  <si>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</si>
  <si>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</si>
  <si>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</si>
  <si>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</si>
  <si>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</si>
  <si>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</si>
  <si>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</si>
  <si>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</si>
  <si>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</si>
  <si>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</si>
  <si>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</si>
  <si>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</si>
  <si>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</si>
  <si>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</si>
  <si>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</si>
  <si>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</si>
  <si>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</si>
  <si>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</si>
  <si>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</si>
  <si>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</si>
  <si>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</si>
  <si>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</si>
  <si>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</si>
  <si>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</si>
  <si>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</si>
  <si>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</si>
  <si>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</si>
  <si>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</si>
  <si>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</si>
  <si>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</si>
  <si>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</si>
  <si>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</si>
  <si>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</si>
  <si>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</si>
  <si>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</si>
  <si>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</si>
  <si>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</si>
  <si>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</si>
  <si>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</si>
  <si>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</si>
  <si>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</si>
  <si>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</si>
  <si>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</si>
  <si>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</si>
  <si>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</si>
  <si>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</si>
  <si>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</si>
  <si>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</si>
  <si>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</si>
  <si>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</si>
  <si>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</si>
  <si>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</si>
  <si>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</si>
  <si>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</si>
  <si>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</si>
  <si>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</si>
  <si>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</si>
  <si>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</si>
  <si>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</si>
  <si>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</si>
  <si>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</si>
  <si>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</si>
  <si>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</si>
  <si>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</si>
  <si>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</si>
  <si>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</si>
  <si>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</si>
  <si>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</si>
  <si>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</si>
  <si>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</si>
  <si>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</si>
  <si>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</si>
  <si>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</si>
  <si>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</si>
  <si>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</si>
  <si>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</si>
  <si>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</si>
  <si>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</si>
  <si>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</si>
  <si>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</si>
  <si>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</si>
  <si>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</si>
  <si>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</si>
  <si>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</si>
  <si>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</si>
  <si>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</si>
  <si>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</si>
  <si>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</si>
  <si>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</si>
  <si>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</si>
  <si>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</si>
  <si>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</si>
  <si>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</si>
  <si>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</si>
  <si>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</si>
  <si>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</si>
  <si>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</si>
  <si>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</si>
  <si>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</si>
  <si>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</si>
  <si>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</si>
  <si>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</si>
  <si>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</si>
  <si>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</si>
  <si>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</si>
  <si>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</si>
  <si>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</si>
  <si>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</si>
  <si>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</si>
  <si>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</si>
  <si>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</si>
  <si>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</si>
  <si>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</si>
  <si>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</si>
  <si>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</si>
  <si>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</si>
  <si>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</si>
  <si>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</si>
  <si>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</si>
  <si>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</si>
  <si>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</si>
  <si>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</si>
  <si>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</si>
  <si>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</si>
  <si>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</si>
  <si>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</si>
  <si>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</si>
  <si>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</si>
  <si>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</si>
  <si>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</si>
  <si>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</si>
  <si>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</si>
  <si>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</si>
  <si>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</si>
  <si>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</si>
  <si>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</si>
  <si>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</si>
  <si>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</si>
  <si>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</si>
  <si>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</si>
  <si>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</si>
  <si>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</si>
  <si>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</si>
  <si>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</si>
  <si>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</si>
  <si>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</si>
  <si>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</si>
  <si>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</si>
  <si>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</si>
  <si>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</si>
  <si>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</si>
  <si>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</si>
  <si>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</si>
  <si>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</si>
  <si>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</si>
  <si>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</si>
  <si>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</si>
  <si>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</si>
  <si>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</si>
  <si>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</si>
  <si>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</si>
  <si>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</si>
  <si>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</si>
  <si>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</si>
  <si>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</si>
  <si>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</si>
  <si>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</si>
  <si>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</si>
  <si>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</si>
  <si>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</si>
  <si>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</si>
  <si>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</si>
  <si>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</si>
  <si>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</si>
  <si>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</si>
  <si>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</si>
  <si>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</si>
  <si>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</si>
  <si>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</si>
  <si>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</si>
  <si>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</si>
  <si>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</si>
  <si>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</si>
  <si>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</si>
  <si>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</si>
  <si>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</si>
  <si>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</si>
  <si>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</si>
  <si>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</si>
  <si>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</si>
  <si>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</si>
  <si>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</si>
  <si>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</si>
  <si>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</si>
  <si>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</si>
  <si>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</si>
  <si>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</si>
  <si>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</si>
  <si>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</si>
  <si>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</si>
  <si>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</si>
  <si>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</si>
  <si>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</si>
  <si>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</si>
  <si>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</si>
  <si>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</si>
  <si>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</si>
  <si>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</si>
  <si>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</si>
  <si>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</si>
  <si>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</si>
  <si>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</si>
  <si>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</si>
  <si>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</si>
  <si>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</si>
  <si>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</si>
  <si>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</si>
  <si>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</si>
  <si>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</si>
  <si>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</si>
  <si>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</si>
  <si>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</si>
  <si>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</si>
  <si>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</si>
  <si>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</si>
  <si>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</si>
  <si>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</si>
  <si>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</si>
  <si>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</si>
  <si>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</si>
  <si>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</si>
  <si>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</si>
  <si>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</si>
  <si>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</si>
  <si>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</si>
  <si>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</si>
  <si>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</si>
  <si>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</si>
  <si>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</si>
  <si>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</si>
  <si>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</si>
  <si>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</si>
  <si>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</si>
  <si>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</si>
  <si>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</si>
  <si>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</si>
  <si>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</si>
  <si>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</si>
  <si>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</si>
  <si>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</si>
  <si>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</si>
  <si>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</si>
  <si>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</si>
  <si>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</si>
  <si>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</si>
  <si>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</si>
  <si>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</si>
  <si>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</si>
  <si>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</si>
  <si>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</si>
  <si>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</si>
  <si>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</si>
  <si>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</si>
  <si>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</si>
  <si>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</si>
  <si>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</si>
  <si>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</si>
  <si>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</si>
  <si>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</si>
  <si>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</si>
  <si>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</si>
  <si>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</si>
  <si>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</si>
  <si>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</si>
  <si>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</si>
  <si>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</si>
  <si>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</si>
  <si>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</si>
  <si>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</si>
  <si>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</si>
  <si>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</si>
  <si>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</si>
  <si>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</si>
  <si>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</si>
  <si>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</si>
  <si>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</si>
  <si>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</si>
  <si>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</si>
  <si>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</si>
  <si>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</si>
  <si>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</si>
  <si>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</si>
  <si>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</si>
  <si>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</si>
  <si>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</si>
  <si>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</si>
  <si>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</si>
  <si>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</si>
  <si>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</si>
  <si>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</si>
  <si>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</si>
  <si>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</si>
  <si>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</si>
  <si>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</si>
  <si>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</si>
  <si>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</si>
  <si>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</si>
  <si>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</si>
  <si>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</si>
  <si>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</si>
  <si>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</si>
  <si>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</si>
  <si>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</si>
  <si>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</si>
  <si>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GASPOOLNH7007951</t>
  </si>
  <si>
    <t>MEGA Monheimer Elektrizitäts- und Gasversorgung GmbH</t>
  </si>
  <si>
    <t>9870079500005</t>
  </si>
  <si>
    <t>Rheinpromenade 3a</t>
  </si>
  <si>
    <t>Monheim am Rhein</t>
  </si>
  <si>
    <t>Team EDM</t>
  </si>
  <si>
    <t>bilanzierung@mega-monheim.de</t>
  </si>
  <si>
    <t>02173/9520-509</t>
  </si>
  <si>
    <t>Düsseldorf Flughafen</t>
  </si>
  <si>
    <t>DE_GBD03</t>
  </si>
  <si>
    <t>DE_GBH03</t>
  </si>
  <si>
    <t>DE_GGA03</t>
  </si>
  <si>
    <t>DE_GGB03</t>
  </si>
  <si>
    <t>DE_GHA03</t>
  </si>
  <si>
    <t>DE_GHD03</t>
  </si>
  <si>
    <t>DE_GKO03</t>
  </si>
  <si>
    <t>DE_GMF03</t>
  </si>
  <si>
    <t>DE_GMK03</t>
  </si>
  <si>
    <t>DE_GPD03</t>
  </si>
  <si>
    <t>DE_GWA03</t>
  </si>
  <si>
    <t>DE_HEF04</t>
  </si>
  <si>
    <t>DE_HMF04</t>
  </si>
  <si>
    <t>191093 Köln-Stammheim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</si>
</sst>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F16" sqref="F16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42191</v>
      </c>
      <c r="E29" s="8"/>
      <c r="F29" s="8"/>
      <c r="G29" s="8"/>
      <c r="H29" s="8"/>
    </row>
    <row r="30" spans="2:12">
      <c r="B30" s="21" t="s">
        <v>350</v>
      </c>
      <c r="C30" s="328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6" sqref="D1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658</v>
      </c>
      <c r="D4" s="27">
        <v>42290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341" t="s">
        <v>660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2" t="s">
        <v>661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662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40789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398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Monheim am Rhein</v>
      </c>
      <c r="E28" s="38"/>
      <c r="F28" s="11"/>
      <c r="G28" s="2"/>
    </row>
    <row r="29" spans="1:15">
      <c r="B29" s="15"/>
      <c r="C29" s="22" t="s">
        <v>398</v>
      </c>
      <c r="D29" s="45" t="s">
        <v>663</v>
      </c>
      <c r="E29" s="40"/>
      <c r="F29" s="11"/>
      <c r="G29" s="2"/>
    </row>
    <row r="30" spans="1:15">
      <c r="B30" s="15"/>
      <c r="C30" s="22" t="s">
        <v>399</v>
      </c>
      <c r="D30" s="45"/>
      <c r="E30" s="40"/>
      <c r="F30" s="47"/>
      <c r="G30" s="2"/>
    </row>
    <row r="31" spans="1:15">
      <c r="B31" s="15"/>
      <c r="C31" s="22" t="s">
        <v>424</v>
      </c>
      <c r="D31" s="46"/>
      <c r="E31" s="40"/>
      <c r="F31" s="47"/>
      <c r="G31" s="2"/>
    </row>
    <row r="32" spans="1:15">
      <c r="B32" s="15"/>
      <c r="C32" s="22" t="s">
        <v>425</v>
      </c>
      <c r="D32" s="46"/>
      <c r="E32" s="40"/>
      <c r="F32" s="47"/>
      <c r="G32" s="2"/>
    </row>
    <row r="33" spans="2:7">
      <c r="B33" s="15"/>
      <c r="C33" s="22" t="s">
        <v>426</v>
      </c>
      <c r="D33" s="45"/>
      <c r="E33" s="40"/>
      <c r="F33" s="47"/>
      <c r="G33" s="2"/>
    </row>
    <row r="34" spans="2:7">
      <c r="B34" s="15"/>
      <c r="C34" s="22" t="s">
        <v>427</v>
      </c>
      <c r="D34" s="46"/>
      <c r="E34" s="40"/>
      <c r="F34" s="47"/>
      <c r="G34" s="2"/>
    </row>
    <row r="35" spans="2:7">
      <c r="B35" s="15"/>
      <c r="C35" s="22" t="s">
        <v>428</v>
      </c>
      <c r="D35" s="46"/>
      <c r="E35" s="40"/>
      <c r="F35" s="47"/>
      <c r="G35" s="2"/>
    </row>
    <row r="36" spans="2:7">
      <c r="B36" s="15"/>
      <c r="C36" s="22" t="s">
        <v>429</v>
      </c>
      <c r="D36" s="46"/>
      <c r="E36" s="40"/>
      <c r="F36" s="47"/>
      <c r="G36" s="2"/>
    </row>
    <row r="37" spans="2:7">
      <c r="B37" s="15"/>
      <c r="C37" s="22" t="s">
        <v>430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topLeftCell="A13" zoomScale="80" zoomScaleNormal="80" workbookViewId="0">
      <selection activeCell="E40" sqref="E4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MEGA Monheimer Elektrizitäts- und Gasversorgung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Monheim am Rhein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9" t="str">
        <f>Netzbetreiber!$D$11</f>
        <v>9870079500005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260</v>
      </c>
      <c r="E11" s="15"/>
      <c r="H11" s="272" t="s">
        <v>257</v>
      </c>
      <c r="I11" s="272" t="s">
        <v>260</v>
      </c>
      <c r="J11" s="272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619</v>
      </c>
      <c r="D13" s="33" t="s">
        <v>620</v>
      </c>
      <c r="E13" s="15"/>
      <c r="H13" s="272" t="s">
        <v>620</v>
      </c>
      <c r="I13" s="272" t="s">
        <v>621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338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659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85</v>
      </c>
      <c r="C18" s="31" t="s">
        <v>371</v>
      </c>
      <c r="D18" s="49" t="s">
        <v>258</v>
      </c>
      <c r="E18" s="15"/>
      <c r="H18" s="270" t="s">
        <v>258</v>
      </c>
      <c r="I18" s="270" t="s">
        <v>136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578</v>
      </c>
      <c r="I19" s="271" t="s">
        <v>492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493</v>
      </c>
      <c r="I20" s="271" t="s">
        <v>494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86</v>
      </c>
      <c r="C22" s="8" t="s">
        <v>617</v>
      </c>
      <c r="D22" s="49" t="s">
        <v>613</v>
      </c>
      <c r="E22" s="15"/>
      <c r="H22" s="268" t="s">
        <v>613</v>
      </c>
      <c r="I22" s="268" t="s">
        <v>614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615</v>
      </c>
      <c r="E23" s="15"/>
      <c r="H23" s="268" t="s">
        <v>616</v>
      </c>
      <c r="I23" s="8" t="s">
        <v>612</v>
      </c>
      <c r="J23" s="8"/>
      <c r="K23" s="8"/>
      <c r="L23" s="269"/>
    </row>
    <row r="24" spans="2:16" ht="15" customHeight="1">
      <c r="B24" s="22"/>
      <c r="C24" s="24" t="s">
        <v>618</v>
      </c>
      <c r="D24" s="24" t="str">
        <f>IF(D22=$H$22,L24,IF(D23=$H$24,M24,N24))</f>
        <v>=&gt;  Q(D) = KW  x  h(T, SLP-Typ)  x  F(WT)</v>
      </c>
      <c r="E24" s="15"/>
      <c r="H24" s="268" t="s">
        <v>615</v>
      </c>
      <c r="I24" s="268" t="s">
        <v>622</v>
      </c>
      <c r="J24" s="8"/>
      <c r="K24" s="8"/>
      <c r="L24" s="271" t="s">
        <v>623</v>
      </c>
      <c r="M24" s="271" t="s">
        <v>625</v>
      </c>
      <c r="N24" s="271" t="s">
        <v>624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373</v>
      </c>
      <c r="C26" s="6" t="s">
        <v>581</v>
      </c>
      <c r="D26" s="42" t="s">
        <v>137</v>
      </c>
      <c r="E26" s="15"/>
      <c r="H26" s="270" t="s">
        <v>135</v>
      </c>
      <c r="I26" s="270" t="s">
        <v>137</v>
      </c>
      <c r="J26" s="268"/>
      <c r="K26" s="268"/>
      <c r="L26" s="269"/>
    </row>
    <row r="27" spans="2:16" ht="15" customHeight="1">
      <c r="B27" s="7"/>
      <c r="C27" s="6" t="s">
        <v>626</v>
      </c>
      <c r="D27" s="42" t="s">
        <v>627</v>
      </c>
      <c r="E27" s="15"/>
      <c r="H27" s="298" t="s">
        <v>627</v>
      </c>
      <c r="I27" s="270" t="s">
        <v>628</v>
      </c>
      <c r="J27" s="270" t="s">
        <v>629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630</v>
      </c>
      <c r="I28" s="271" t="s">
        <v>631</v>
      </c>
      <c r="J28" s="271" t="s">
        <v>632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633</v>
      </c>
      <c r="I29" s="271" t="s">
        <v>634</v>
      </c>
      <c r="J29" s="271" t="s">
        <v>635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497</v>
      </c>
      <c r="C31" s="6" t="s">
        <v>580</v>
      </c>
      <c r="D31" s="42" t="s">
        <v>137</v>
      </c>
      <c r="E31" s="15"/>
      <c r="H31" s="270" t="s">
        <v>135</v>
      </c>
      <c r="I31" s="270" t="s">
        <v>137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636</v>
      </c>
      <c r="I32" s="271" t="s">
        <v>637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638</v>
      </c>
      <c r="I33" s="268" t="s">
        <v>633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552</v>
      </c>
      <c r="C35" s="24" t="s">
        <v>499</v>
      </c>
      <c r="D35" s="42">
        <v>16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553</v>
      </c>
      <c r="C37" s="5" t="s">
        <v>368</v>
      </c>
      <c r="D37" s="34">
        <v>1500000</v>
      </c>
      <c r="E37" s="15" t="s">
        <v>510</v>
      </c>
      <c r="I37" s="268"/>
      <c r="J37" s="268"/>
      <c r="K37" s="268"/>
      <c r="L37" s="268"/>
      <c r="M37" s="269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554</v>
      </c>
      <c r="C40" s="5" t="s">
        <v>369</v>
      </c>
      <c r="D40" s="36">
        <v>500</v>
      </c>
      <c r="E40" s="15" t="s">
        <v>544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543</v>
      </c>
    </row>
    <row r="44" spans="2:39" ht="18" customHeight="1">
      <c r="C44" s="3" t="s">
        <v>545</v>
      </c>
    </row>
    <row r="45" spans="2:39" ht="18" customHeight="1">
      <c r="C45" s="3"/>
    </row>
    <row r="46" spans="2:39" ht="15" customHeight="1">
      <c r="B46" s="22" t="s">
        <v>555</v>
      </c>
      <c r="C46" s="60" t="s">
        <v>579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590</v>
      </c>
      <c r="D48" s="45" t="s">
        <v>681</v>
      </c>
    </row>
    <row r="49" spans="3:4" ht="18" customHeight="1">
      <c r="C49" s="22" t="s">
        <v>591</v>
      </c>
      <c r="D49" s="45"/>
    </row>
    <row r="50" spans="3:4" ht="18" customHeight="1">
      <c r="C50" s="22" t="s">
        <v>592</v>
      </c>
      <c r="D50" s="45"/>
    </row>
    <row r="51" spans="3:4" ht="18" customHeight="1">
      <c r="C51" s="22" t="s">
        <v>593</v>
      </c>
      <c r="D51" s="45"/>
    </row>
    <row r="52" spans="3:4" ht="18" customHeight="1">
      <c r="C52" s="22" t="s">
        <v>594</v>
      </c>
      <c r="D52" s="45"/>
    </row>
    <row r="53" spans="3:4" ht="18" customHeight="1">
      <c r="C53" s="22" t="s">
        <v>595</v>
      </c>
      <c r="D53" s="45"/>
    </row>
    <row r="54" spans="3:4" ht="18" customHeight="1">
      <c r="C54" s="22" t="s">
        <v>596</v>
      </c>
      <c r="D54" s="45"/>
    </row>
    <row r="55" spans="3:4" ht="18" customHeight="1">
      <c r="C55" s="22" t="s">
        <v>597</v>
      </c>
      <c r="D55" s="45"/>
    </row>
    <row r="56" spans="3:4" ht="18" customHeight="1">
      <c r="C56" s="22" t="s">
        <v>598</v>
      </c>
      <c r="D56" s="45"/>
    </row>
    <row r="57" spans="3:4" ht="18" customHeight="1">
      <c r="C57" s="22" t="s">
        <v>599</v>
      </c>
      <c r="D57" s="45"/>
    </row>
    <row r="58" spans="3:4" ht="18" customHeight="1">
      <c r="C58" s="22" t="s">
        <v>600</v>
      </c>
      <c r="D58" s="45"/>
    </row>
    <row r="59" spans="3:4" ht="18" customHeight="1">
      <c r="C59" s="22" t="s">
        <v>601</v>
      </c>
      <c r="D59" s="45"/>
    </row>
    <row r="60" spans="3:4" ht="18" customHeight="1">
      <c r="C60" s="22" t="s">
        <v>602</v>
      </c>
      <c r="D60" s="45"/>
    </row>
    <row r="61" spans="3:4" ht="18" customHeight="1">
      <c r="C61" s="22" t="s">
        <v>603</v>
      </c>
      <c r="D61" s="45"/>
    </row>
    <row r="62" spans="3:4" ht="18" customHeight="1">
      <c r="C62" s="22" t="s">
        <v>604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5" zoomScale="70" zoomScaleNormal="70" workbookViewId="0">
      <selection activeCell="E70" sqref="E7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Netzbetreiber!D9</f>
        <v>MEGA Monheimer Elektrizitäts- und Gasversorgung GmbH</v>
      </c>
      <c r="F4" s="331"/>
      <c r="G4" s="331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Monheim am Rhein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Netzbetreiber!D11</f>
        <v>9870079500005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1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4" t="str">
        <f>INDEX('SLP-Verfahren'!D48:D62,'SLP-Temp-Gebiet #01'!F10)</f>
        <v>191093 Köln-Stammheim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588</v>
      </c>
      <c r="D13" s="342"/>
      <c r="E13" s="342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452</v>
      </c>
      <c r="D14" s="343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3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3" t="s">
        <v>390</v>
      </c>
      <c r="D15" s="343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373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506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667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>
        <v>104000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1</v>
      </c>
      <c r="F31" s="280">
        <f>ROUND(F32/$D$32,4)</f>
        <v>0.5</v>
      </c>
      <c r="G31" s="280">
        <f t="shared" ref="G31:N31" si="3">ROUND(G32/$D$32,4)</f>
        <v>0.25</v>
      </c>
      <c r="H31" s="280">
        <f t="shared" si="3"/>
        <v>0.125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352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365</v>
      </c>
      <c r="K46" s="197"/>
      <c r="L46" s="197"/>
      <c r="M46" s="197"/>
      <c r="N46" s="197"/>
      <c r="O46" s="198"/>
    </row>
    <row r="47" spans="2:28">
      <c r="B47" s="192"/>
      <c r="C47" s="199" t="s">
        <v>351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365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Düsseldorf Flughafen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>
        <f>E25</f>
        <v>104000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536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146</v>
      </c>
    </row>
    <row r="67" spans="2:15">
      <c r="B67" s="182"/>
      <c r="C67" s="186" t="s">
        <v>364</v>
      </c>
      <c r="D67" s="153" t="s">
        <v>363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456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143</v>
      </c>
    </row>
    <row r="71" spans="2:15"/>
    <row r="72" spans="2:15" ht="15.75" customHeight="1">
      <c r="C72" s="344" t="s">
        <v>583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547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Netzbetreiber!$D$9</f>
        <v>MEGA Monheimer Elektrizitäts- und Gasversorgung GmbH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Monheim am Rhein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Netzbetreiber!$D$11</f>
        <v>9870079500005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526</v>
      </c>
      <c r="D9" s="130"/>
      <c r="E9" s="130"/>
      <c r="F9" s="154">
        <f>'SLP-Verfahren'!D46</f>
        <v>1</v>
      </c>
      <c r="H9" s="172" t="s">
        <v>605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589</v>
      </c>
      <c r="D10" s="130"/>
      <c r="E10" s="130"/>
      <c r="F10" s="49">
        <v>2</v>
      </c>
      <c r="G10" s="57"/>
      <c r="H10" s="172" t="s">
        <v>606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607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588</v>
      </c>
      <c r="D13" s="342"/>
      <c r="E13" s="342"/>
      <c r="F13" s="182" t="s">
        <v>551</v>
      </c>
      <c r="G13" s="130" t="s">
        <v>549</v>
      </c>
      <c r="H13" s="262" t="s">
        <v>566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452</v>
      </c>
      <c r="D14" s="343"/>
      <c r="E14" s="89" t="s">
        <v>453</v>
      </c>
      <c r="F14" s="263" t="s">
        <v>86</v>
      </c>
      <c r="G14" s="264" t="s">
        <v>575</v>
      </c>
      <c r="H14" s="51">
        <v>0</v>
      </c>
      <c r="I14" s="57"/>
      <c r="J14" s="130"/>
      <c r="K14" s="130"/>
      <c r="L14" s="130"/>
      <c r="M14" s="130"/>
      <c r="N14" s="130"/>
      <c r="O14" s="333" t="s">
        <v>655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30"/>
      <c r="C15" s="343" t="s">
        <v>390</v>
      </c>
      <c r="D15" s="343"/>
      <c r="E15" s="89" t="s">
        <v>453</v>
      </c>
      <c r="F15" s="263" t="s">
        <v>72</v>
      </c>
      <c r="G15" s="264" t="s">
        <v>569</v>
      </c>
      <c r="H15" s="51">
        <v>0</v>
      </c>
      <c r="I15" s="57"/>
      <c r="J15" s="130"/>
      <c r="K15" s="130"/>
      <c r="L15" s="130"/>
      <c r="M15" s="130"/>
      <c r="N15" s="130"/>
      <c r="O15" s="161" t="s">
        <v>531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373</v>
      </c>
      <c r="AH15" s="261" t="s">
        <v>497</v>
      </c>
      <c r="AI15" s="261" t="s">
        <v>552</v>
      </c>
      <c r="AJ15" s="261" t="s">
        <v>553</v>
      </c>
      <c r="AK15" s="261" t="s">
        <v>554</v>
      </c>
      <c r="AL15" s="261" t="s">
        <v>555</v>
      </c>
      <c r="AM15" s="261" t="s">
        <v>556</v>
      </c>
      <c r="AN15" s="261" t="s">
        <v>557</v>
      </c>
      <c r="AO15" s="261" t="s">
        <v>558</v>
      </c>
      <c r="AP15" s="261" t="s">
        <v>559</v>
      </c>
      <c r="AQ15" s="261" t="s">
        <v>560</v>
      </c>
      <c r="AR15" s="261" t="s">
        <v>561</v>
      </c>
      <c r="AS15" s="261" t="s">
        <v>562</v>
      </c>
      <c r="AT15" s="261" t="s">
        <v>563</v>
      </c>
      <c r="AU15" s="261" t="s">
        <v>564</v>
      </c>
      <c r="AV15" s="261" t="s">
        <v>565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521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522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529</v>
      </c>
      <c r="D21" s="153" t="s">
        <v>519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540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524</v>
      </c>
      <c r="D24" s="187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4" t="s">
        <v>525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366</v>
      </c>
      <c r="F25" s="160" t="s">
        <v>366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530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364</v>
      </c>
      <c r="D33" s="153" t="s">
        <v>363</v>
      </c>
      <c r="E33" s="156" t="s">
        <v>3</v>
      </c>
      <c r="F33" s="156" t="s">
        <v>362</v>
      </c>
      <c r="G33" s="156" t="s">
        <v>353</v>
      </c>
      <c r="H33" s="156" t="s">
        <v>354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362</v>
      </c>
      <c r="T33" s="67" t="s">
        <v>353</v>
      </c>
      <c r="U33" s="67" t="s">
        <v>354</v>
      </c>
      <c r="V33" s="67" t="s">
        <v>355</v>
      </c>
      <c r="W33" s="67" t="s">
        <v>356</v>
      </c>
      <c r="X33" s="67" t="s">
        <v>357</v>
      </c>
      <c r="Y33" s="67" t="s">
        <v>358</v>
      </c>
      <c r="Z33" s="67" t="s">
        <v>359</v>
      </c>
      <c r="AA33" s="67" t="s">
        <v>360</v>
      </c>
      <c r="AB33" s="67" t="s">
        <v>361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609</v>
      </c>
      <c r="D35" s="153" t="s">
        <v>610</v>
      </c>
      <c r="E35" s="156" t="s">
        <v>608</v>
      </c>
      <c r="F35" s="156" t="s">
        <v>608</v>
      </c>
      <c r="G35" s="156" t="s">
        <v>608</v>
      </c>
      <c r="H35" s="156" t="s">
        <v>608</v>
      </c>
      <c r="I35" s="156" t="s">
        <v>608</v>
      </c>
      <c r="J35" s="156" t="s">
        <v>608</v>
      </c>
      <c r="K35" s="156" t="s">
        <v>608</v>
      </c>
      <c r="L35" s="156" t="s">
        <v>608</v>
      </c>
      <c r="M35" s="156" t="s">
        <v>608</v>
      </c>
      <c r="N35" s="156" t="s">
        <v>608</v>
      </c>
      <c r="O35" s="184" t="s">
        <v>143</v>
      </c>
      <c r="Q35" s="210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541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352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365</v>
      </c>
      <c r="K46" s="197"/>
      <c r="L46" s="197"/>
      <c r="M46" s="197"/>
      <c r="N46" s="197"/>
      <c r="O46" s="198"/>
    </row>
    <row r="47" spans="2:28">
      <c r="B47" s="192"/>
      <c r="C47" s="199" t="s">
        <v>351</v>
      </c>
      <c r="D47" s="200" t="s">
        <v>537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365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546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522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529</v>
      </c>
      <c r="D55" s="153" t="s">
        <v>519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540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524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525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530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146</v>
      </c>
    </row>
    <row r="67" spans="2:15">
      <c r="B67" s="182"/>
      <c r="C67" s="186" t="s">
        <v>364</v>
      </c>
      <c r="D67" s="153" t="s">
        <v>363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609</v>
      </c>
      <c r="D69" s="153" t="s">
        <v>610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447</v>
      </c>
      <c r="D70" s="119" t="s">
        <v>541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44" t="s">
        <v>583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40" sqref="H40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367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372</v>
      </c>
      <c r="D5" s="54" t="str">
        <f>Netzbetreiber!$D$9</f>
        <v>MEGA Monheimer Elektrizitäts- und Gasversorgung GmbH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339</v>
      </c>
      <c r="D6" s="54" t="str">
        <f>Netzbetreiber!$D$28</f>
        <v>Monheim am Rhein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9870079500005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499</v>
      </c>
      <c r="J8" s="132">
        <f>COUNTA(D12:D100)</f>
        <v>16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3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639</v>
      </c>
      <c r="M10" s="150" t="s">
        <v>648</v>
      </c>
      <c r="N10" s="151" t="s">
        <v>649</v>
      </c>
      <c r="O10" s="151" t="s">
        <v>650</v>
      </c>
      <c r="P10" s="152" t="s">
        <v>651</v>
      </c>
      <c r="Q10" s="146" t="s">
        <v>640</v>
      </c>
      <c r="R10" s="136" t="s">
        <v>641</v>
      </c>
      <c r="S10" s="137" t="s">
        <v>642</v>
      </c>
      <c r="T10" s="137" t="s">
        <v>643</v>
      </c>
      <c r="U10" s="137" t="s">
        <v>644</v>
      </c>
      <c r="V10" s="137" t="s">
        <v>645</v>
      </c>
      <c r="W10" s="137" t="s">
        <v>646</v>
      </c>
      <c r="X10" s="138" t="s">
        <v>647</v>
      </c>
      <c r="Y10" s="295" t="s">
        <v>652</v>
      </c>
    </row>
    <row r="11" spans="2:26" ht="15.75" thickBot="1">
      <c r="B11" s="139" t="s">
        <v>500</v>
      </c>
      <c r="C11" s="140" t="s">
        <v>513</v>
      </c>
      <c r="D11" s="294" t="s">
        <v>248</v>
      </c>
      <c r="E11" s="164" t="s">
        <v>520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Monheim am Rhein</v>
      </c>
      <c r="D12" s="62" t="s">
        <v>248</v>
      </c>
      <c r="E12" s="165" t="s">
        <v>668</v>
      </c>
      <c r="F12" s="297" t="str">
        <f>VLOOKUP($E12,'BDEW-Standard'!$B$3:$M$94,F$9,0)</f>
        <v>BD3</v>
      </c>
      <c r="H12" s="274">
        <f>ROUND(VLOOKUP($E12,'BDEW-Standard'!$B$3:$M$94,H$9,0),7)</f>
        <v>2.9177027</v>
      </c>
      <c r="I12" s="274">
        <f>ROUND(VLOOKUP($E12,'BDEW-Standard'!$B$3:$M$94,I$9,0),7)</f>
        <v>-36.179411700000003</v>
      </c>
      <c r="J12" s="274">
        <f>ROUND(VLOOKUP($E12,'BDEW-Standard'!$B$3:$M$94,J$9,0),7)</f>
        <v>5.9265162</v>
      </c>
      <c r="K12" s="274">
        <f>ROUND(VLOOKUP($E12,'BDEW-Standard'!$B$3:$M$94,K$9,0),7)</f>
        <v>0.11519119999999999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7" si="1">($H12/(1+($I12/($Q$9-$L12))^$J12)+$K12)+MAX($M12*$Q$9+$N12,$O12*$Q$9+$P12)</f>
        <v>1.0656106174494469</v>
      </c>
      <c r="R12" s="275">
        <f>ROUND(VLOOKUP(MID($E12,4,3),'Wochentag F(WT)'!$B$7:$J$22,R$9,0),4)</f>
        <v>1.1052</v>
      </c>
      <c r="S12" s="275">
        <f>ROUND(VLOOKUP(MID($E12,4,3),'Wochentag F(WT)'!$B$7:$J$22,S$9,0),4)</f>
        <v>1.0857000000000001</v>
      </c>
      <c r="T12" s="275">
        <f>ROUND(VLOOKUP(MID($E12,4,3),'Wochentag F(WT)'!$B$7:$J$22,T$9,0),4)</f>
        <v>1.0378000000000001</v>
      </c>
      <c r="U12" s="275">
        <f>ROUND(VLOOKUP(MID($E12,4,3),'Wochentag F(WT)'!$B$7:$J$22,U$9,0),4)</f>
        <v>1.0622</v>
      </c>
      <c r="V12" s="275">
        <f>ROUND(VLOOKUP(MID($E12,4,3),'Wochentag F(WT)'!$B$7:$J$22,V$9,0),4)</f>
        <v>1.0266</v>
      </c>
      <c r="W12" s="275">
        <f>ROUND(VLOOKUP(MID($E12,4,3),'Wochentag F(WT)'!$B$7:$J$22,W$9,0),4)</f>
        <v>0.76290000000000002</v>
      </c>
      <c r="X12" s="276">
        <f>7-SUM(R12:W12)</f>
        <v>0.91959999999999997</v>
      </c>
      <c r="Y12" s="293"/>
      <c r="Z12" s="211"/>
    </row>
    <row r="13" spans="2:26" s="143" customFormat="1">
      <c r="B13" s="144">
        <v>2</v>
      </c>
      <c r="C13" s="145" t="str">
        <f t="shared" si="0"/>
        <v>Monheim am Rhein</v>
      </c>
      <c r="D13" s="62" t="s">
        <v>248</v>
      </c>
      <c r="E13" s="165" t="s">
        <v>669</v>
      </c>
      <c r="F13" s="297" t="str">
        <f>VLOOKUP($E13,'BDEW-Standard'!$B$3:$M$94,F$9,0)</f>
        <v>BH3</v>
      </c>
      <c r="H13" s="274">
        <f>ROUND(VLOOKUP($E13,'BDEW-Standard'!$B$3:$M$94,H$9,0),7)</f>
        <v>2.0102471999999998</v>
      </c>
      <c r="I13" s="274">
        <f>ROUND(VLOOKUP($E13,'BDEW-Standard'!$B$3:$M$94,I$9,0),7)</f>
        <v>-35.253212400000002</v>
      </c>
      <c r="J13" s="274">
        <f>ROUND(VLOOKUP($E13,'BDEW-Standard'!$B$3:$M$94,J$9,0),7)</f>
        <v>6.1544406</v>
      </c>
      <c r="K13" s="274">
        <f>ROUND(VLOOKUP($E13,'BDEW-Standard'!$B$3:$M$94,K$9,0),7)</f>
        <v>0.32947409999999999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1.0436896084076008</v>
      </c>
      <c r="R13" s="275">
        <f>ROUND(VLOOKUP(MID($E13,4,3),'Wochentag F(WT)'!$B$7:$J$22,R$9,0),4)</f>
        <v>0.97670000000000001</v>
      </c>
      <c r="S13" s="275">
        <f>ROUND(VLOOKUP(MID($E13,4,3),'Wochentag F(WT)'!$B$7:$J$22,S$9,0),4)</f>
        <v>1.0388999999999999</v>
      </c>
      <c r="T13" s="275">
        <f>ROUND(VLOOKUP(MID($E13,4,3),'Wochentag F(WT)'!$B$7:$J$22,T$9,0),4)</f>
        <v>1.0027999999999999</v>
      </c>
      <c r="U13" s="275">
        <f>ROUND(VLOOKUP(MID($E13,4,3),'Wochentag F(WT)'!$B$7:$J$22,U$9,0),4)</f>
        <v>1.0162</v>
      </c>
      <c r="V13" s="275">
        <f>ROUND(VLOOKUP(MID($E13,4,3),'Wochentag F(WT)'!$B$7:$J$22,V$9,0),4)</f>
        <v>1.0024</v>
      </c>
      <c r="W13" s="275">
        <f>ROUND(VLOOKUP(MID($E13,4,3),'Wochentag F(WT)'!$B$7:$J$22,W$9,0),4)</f>
        <v>1.0043</v>
      </c>
      <c r="X13" s="276">
        <f t="shared" ref="X13:X26" si="2">7-SUM(R13:W13)</f>
        <v>0.95870000000000122</v>
      </c>
      <c r="Y13" s="293"/>
      <c r="Z13" s="211"/>
    </row>
    <row r="14" spans="2:26" s="143" customFormat="1">
      <c r="B14" s="144">
        <v>3</v>
      </c>
      <c r="C14" s="145" t="str">
        <f t="shared" si="0"/>
        <v>Monheim am Rhein</v>
      </c>
      <c r="D14" s="62" t="s">
        <v>248</v>
      </c>
      <c r="E14" s="165" t="s">
        <v>670</v>
      </c>
      <c r="F14" s="297" t="str">
        <f>VLOOKUP($E14,'BDEW-Standard'!$B$3:$M$94,F$9,0)</f>
        <v>GA3</v>
      </c>
      <c r="H14" s="274">
        <f>ROUND(VLOOKUP($E14,'BDEW-Standard'!$B$3:$M$94,H$9,0),7)</f>
        <v>2.2850164999999998</v>
      </c>
      <c r="I14" s="274">
        <f>ROUND(VLOOKUP($E14,'BDEW-Standard'!$B$3:$M$94,I$9,0),7)</f>
        <v>-36.287858399999998</v>
      </c>
      <c r="J14" s="274">
        <f>ROUND(VLOOKUP($E14,'BDEW-Standard'!$B$3:$M$94,J$9,0),7)</f>
        <v>6.5885125999999996</v>
      </c>
      <c r="K14" s="274">
        <f>ROUND(VLOOKUP($E14,'BDEW-Standard'!$B$3:$M$94,K$9,0),7)</f>
        <v>0.31505349999999999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1.0096183914256316</v>
      </c>
      <c r="R14" s="275">
        <f>ROUND(VLOOKUP(MID($E14,4,3),'Wochentag F(WT)'!$B$7:$J$22,R$9,0),4)</f>
        <v>0.93220000000000003</v>
      </c>
      <c r="S14" s="275">
        <f>ROUND(VLOOKUP(MID($E14,4,3),'Wochentag F(WT)'!$B$7:$J$22,S$9,0),4)</f>
        <v>0.98939999999999995</v>
      </c>
      <c r="T14" s="275">
        <f>ROUND(VLOOKUP(MID($E14,4,3),'Wochentag F(WT)'!$B$7:$J$22,T$9,0),4)</f>
        <v>1.0033000000000001</v>
      </c>
      <c r="U14" s="275">
        <f>ROUND(VLOOKUP(MID($E14,4,3),'Wochentag F(WT)'!$B$7:$J$22,U$9,0),4)</f>
        <v>1.0108999999999999</v>
      </c>
      <c r="V14" s="275">
        <f>ROUND(VLOOKUP(MID($E14,4,3),'Wochentag F(WT)'!$B$7:$J$22,V$9,0),4)</f>
        <v>1.018</v>
      </c>
      <c r="W14" s="275">
        <f>ROUND(VLOOKUP(MID($E14,4,3),'Wochentag F(WT)'!$B$7:$J$22,W$9,0),4)</f>
        <v>1.0356000000000001</v>
      </c>
      <c r="X14" s="276">
        <f t="shared" si="2"/>
        <v>1.0106000000000002</v>
      </c>
      <c r="Y14" s="293"/>
      <c r="Z14" s="211"/>
    </row>
    <row r="15" spans="2:26" s="143" customFormat="1">
      <c r="B15" s="144">
        <v>4</v>
      </c>
      <c r="C15" s="145" t="str">
        <f t="shared" si="0"/>
        <v>Monheim am Rhein</v>
      </c>
      <c r="D15" s="62" t="s">
        <v>248</v>
      </c>
      <c r="E15" s="165" t="s">
        <v>671</v>
      </c>
      <c r="F15" s="297" t="str">
        <f>VLOOKUP($E15,'BDEW-Standard'!$B$3:$M$94,F$9,0)</f>
        <v>GB3</v>
      </c>
      <c r="H15" s="274">
        <f>ROUND(VLOOKUP($E15,'BDEW-Standard'!$B$3:$M$94,H$9,0),7)</f>
        <v>3.2572741999999999</v>
      </c>
      <c r="I15" s="274">
        <f>ROUND(VLOOKUP($E15,'BDEW-Standard'!$B$3:$M$94,I$9,0),7)</f>
        <v>-37.5</v>
      </c>
      <c r="J15" s="274">
        <f>ROUND(VLOOKUP($E15,'BDEW-Standard'!$B$3:$M$94,J$9,0),7)</f>
        <v>6.3462148000000003</v>
      </c>
      <c r="K15" s="274">
        <f>ROUND(VLOOKUP($E15,'BDEW-Standard'!$B$3:$M$94,K$9,0),7)</f>
        <v>8.6622699999999997E-2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0.9584556323619029</v>
      </c>
      <c r="R15" s="275">
        <f>ROUND(VLOOKUP(MID($E15,4,3),'Wochentag F(WT)'!$B$7:$J$22,R$9,0),4)</f>
        <v>0.98970000000000002</v>
      </c>
      <c r="S15" s="275">
        <f>ROUND(VLOOKUP(MID($E15,4,3),'Wochentag F(WT)'!$B$7:$J$22,S$9,0),4)</f>
        <v>0.9627</v>
      </c>
      <c r="T15" s="275">
        <f>ROUND(VLOOKUP(MID($E15,4,3),'Wochentag F(WT)'!$B$7:$J$22,T$9,0),4)</f>
        <v>1.0507</v>
      </c>
      <c r="U15" s="275">
        <f>ROUND(VLOOKUP(MID($E15,4,3),'Wochentag F(WT)'!$B$7:$J$22,U$9,0),4)</f>
        <v>1.0551999999999999</v>
      </c>
      <c r="V15" s="275">
        <f>ROUND(VLOOKUP(MID($E15,4,3),'Wochentag F(WT)'!$B$7:$J$22,V$9,0),4)</f>
        <v>1.0297000000000001</v>
      </c>
      <c r="W15" s="275">
        <f>ROUND(VLOOKUP(MID($E15,4,3),'Wochentag F(WT)'!$B$7:$J$22,W$9,0),4)</f>
        <v>0.97670000000000001</v>
      </c>
      <c r="X15" s="276">
        <f t="shared" si="2"/>
        <v>0.9352999999999998</v>
      </c>
      <c r="Y15" s="293"/>
      <c r="Z15" s="211"/>
    </row>
    <row r="16" spans="2:26" s="143" customFormat="1">
      <c r="B16" s="144">
        <v>5</v>
      </c>
      <c r="C16" s="145" t="str">
        <f t="shared" si="0"/>
        <v>Monheim am Rhein</v>
      </c>
      <c r="D16" s="62" t="s">
        <v>248</v>
      </c>
      <c r="E16" s="165" t="s">
        <v>672</v>
      </c>
      <c r="F16" s="297" t="str">
        <f>VLOOKUP($E16,'BDEW-Standard'!$B$3:$M$94,F$9,0)</f>
        <v>HA3</v>
      </c>
      <c r="H16" s="274">
        <f>ROUND(VLOOKUP($E16,'BDEW-Standard'!$B$3:$M$94,H$9,0),7)</f>
        <v>3.5811213999999998</v>
      </c>
      <c r="I16" s="274">
        <f>ROUND(VLOOKUP($E16,'BDEW-Standard'!$B$3:$M$94,I$9,0),7)</f>
        <v>-36.965006500000001</v>
      </c>
      <c r="J16" s="274">
        <f>ROUND(VLOOKUP($E16,'BDEW-Standard'!$B$3:$M$94,J$9,0),7)</f>
        <v>7.2256947</v>
      </c>
      <c r="K16" s="274">
        <f>ROUND(VLOOKUP($E16,'BDEW-Standard'!$B$3:$M$94,K$9,0),7)</f>
        <v>4.4841600000000002E-2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0.97852945357176691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Monheim am Rhein</v>
      </c>
      <c r="D17" s="62" t="s">
        <v>248</v>
      </c>
      <c r="E17" s="165" t="s">
        <v>673</v>
      </c>
      <c r="F17" s="297" t="str">
        <f>VLOOKUP($E17,'BDEW-Standard'!$B$3:$M$94,F$9,0)</f>
        <v>HD3</v>
      </c>
      <c r="H17" s="274">
        <f>ROUND(VLOOKUP($E17,'BDEW-Standard'!$B$3:$M$94,H$9,0),7)</f>
        <v>2.5792510000000002</v>
      </c>
      <c r="I17" s="274">
        <f>ROUND(VLOOKUP($E17,'BDEW-Standard'!$B$3:$M$94,I$9,0),7)</f>
        <v>-35.681614400000001</v>
      </c>
      <c r="J17" s="274">
        <f>ROUND(VLOOKUP($E17,'BDEW-Standard'!$B$3:$M$94,J$9,0),7)</f>
        <v>6.6857975999999999</v>
      </c>
      <c r="K17" s="274">
        <f>ROUND(VLOOKUP($E17,'BDEW-Standard'!$B$3:$M$94,K$9,0),7)</f>
        <v>0.19955410000000001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1.0393994293439688</v>
      </c>
      <c r="R17" s="275">
        <f>ROUND(VLOOKUP(MID($E17,4,3),'Wochentag F(WT)'!$B$7:$J$22,R$9,0),4)</f>
        <v>1.03</v>
      </c>
      <c r="S17" s="275">
        <f>ROUND(VLOOKUP(MID($E17,4,3),'Wochentag F(WT)'!$B$7:$J$22,S$9,0),4)</f>
        <v>1.03</v>
      </c>
      <c r="T17" s="275">
        <f>ROUND(VLOOKUP(MID($E17,4,3),'Wochentag F(WT)'!$B$7:$J$22,T$9,0),4)</f>
        <v>1.02</v>
      </c>
      <c r="U17" s="275">
        <f>ROUND(VLOOKUP(MID($E17,4,3),'Wochentag F(WT)'!$B$7:$J$22,U$9,0),4)</f>
        <v>1.03</v>
      </c>
      <c r="V17" s="275">
        <f>ROUND(VLOOKUP(MID($E17,4,3),'Wochentag F(WT)'!$B$7:$J$22,V$9,0),4)</f>
        <v>1.01</v>
      </c>
      <c r="W17" s="275">
        <f>ROUND(VLOOKUP(MID($E17,4,3),'Wochentag F(WT)'!$B$7:$J$22,W$9,0),4)</f>
        <v>0.93</v>
      </c>
      <c r="X17" s="276">
        <f t="shared" si="2"/>
        <v>0.95000000000000018</v>
      </c>
      <c r="Y17" s="293"/>
      <c r="Z17" s="211"/>
    </row>
    <row r="18" spans="2:26" s="143" customFormat="1">
      <c r="B18" s="144">
        <v>7</v>
      </c>
      <c r="C18" s="145" t="str">
        <f t="shared" si="0"/>
        <v>Monheim am Rhein</v>
      </c>
      <c r="D18" s="62" t="s">
        <v>248</v>
      </c>
      <c r="E18" s="165" t="s">
        <v>674</v>
      </c>
      <c r="F18" s="297" t="str">
        <f>VLOOKUP($E18,'BDEW-Standard'!$B$3:$M$94,F$9,0)</f>
        <v>KO3</v>
      </c>
      <c r="H18" s="274">
        <f>ROUND(VLOOKUP($E18,'BDEW-Standard'!$B$3:$M$94,H$9,0),7)</f>
        <v>2.7172288</v>
      </c>
      <c r="I18" s="274">
        <f>ROUND(VLOOKUP($E18,'BDEW-Standard'!$B$3:$M$94,I$9,0),7)</f>
        <v>-35.141256300000002</v>
      </c>
      <c r="J18" s="274">
        <f>ROUND(VLOOKUP($E18,'BDEW-Standard'!$B$3:$M$94,J$9,0),7)</f>
        <v>7.1303394999999998</v>
      </c>
      <c r="K18" s="274">
        <f>ROUND(VLOOKUP($E18,'BDEW-Standard'!$B$3:$M$94,K$9,0),7)</f>
        <v>0.14184720000000001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1.0630299199876638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3"/>
      <c r="Z18" s="211"/>
    </row>
    <row r="19" spans="2:26" s="143" customFormat="1">
      <c r="B19" s="144">
        <v>8</v>
      </c>
      <c r="C19" s="145" t="str">
        <f t="shared" si="0"/>
        <v>Monheim am Rhein</v>
      </c>
      <c r="D19" s="62" t="s">
        <v>248</v>
      </c>
      <c r="E19" s="165" t="s">
        <v>675</v>
      </c>
      <c r="F19" s="297" t="str">
        <f>VLOOKUP($E19,'BDEW-Standard'!$B$3:$M$94,F$9,0)</f>
        <v>MF3</v>
      </c>
      <c r="H19" s="274">
        <f>ROUND(VLOOKUP($E19,'BDEW-Standard'!$B$3:$M$94,H$9,0),7)</f>
        <v>2.3877617999999998</v>
      </c>
      <c r="I19" s="274">
        <f>ROUND(VLOOKUP($E19,'BDEW-Standard'!$B$3:$M$94,I$9,0),7)</f>
        <v>-34.721360500000003</v>
      </c>
      <c r="J19" s="274">
        <f>ROUND(VLOOKUP($E19,'BDEW-Standard'!$B$3:$M$94,J$9,0),7)</f>
        <v>5.8164303999999998</v>
      </c>
      <c r="K19" s="274">
        <f>ROUND(VLOOKUP($E19,'BDEW-Standard'!$B$3:$M$94,K$9,0),7)</f>
        <v>0.12081939999999999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1.0365184142102302</v>
      </c>
      <c r="R19" s="275">
        <f>ROUND(VLOOKUP(MID($E19,4,3),'Wochentag F(WT)'!$B$7:$J$22,R$9,0),4)</f>
        <v>1.0354000000000001</v>
      </c>
      <c r="S19" s="275">
        <f>ROUND(VLOOKUP(MID($E19,4,3),'Wochentag F(WT)'!$B$7:$J$22,S$9,0),4)</f>
        <v>1.0523</v>
      </c>
      <c r="T19" s="275">
        <f>ROUND(VLOOKUP(MID($E19,4,3),'Wochentag F(WT)'!$B$7:$J$22,T$9,0),4)</f>
        <v>1.0448999999999999</v>
      </c>
      <c r="U19" s="275">
        <f>ROUND(VLOOKUP(MID($E19,4,3),'Wochentag F(WT)'!$B$7:$J$22,U$9,0),4)</f>
        <v>1.0494000000000001</v>
      </c>
      <c r="V19" s="275">
        <f>ROUND(VLOOKUP(MID($E19,4,3),'Wochentag F(WT)'!$B$7:$J$22,V$9,0),4)</f>
        <v>0.98850000000000005</v>
      </c>
      <c r="W19" s="275">
        <f>ROUND(VLOOKUP(MID($E19,4,3),'Wochentag F(WT)'!$B$7:$J$22,W$9,0),4)</f>
        <v>0.88600000000000001</v>
      </c>
      <c r="X19" s="276">
        <f t="shared" si="2"/>
        <v>0.94349999999999934</v>
      </c>
      <c r="Y19" s="293"/>
      <c r="Z19" s="211"/>
    </row>
    <row r="20" spans="2:26" s="143" customFormat="1">
      <c r="B20" s="144">
        <v>9</v>
      </c>
      <c r="C20" s="145" t="str">
        <f t="shared" si="0"/>
        <v>Monheim am Rhein</v>
      </c>
      <c r="D20" s="62" t="s">
        <v>248</v>
      </c>
      <c r="E20" s="165" t="s">
        <v>676</v>
      </c>
      <c r="F20" s="297" t="str">
        <f>VLOOKUP($E20,'BDEW-Standard'!$B$3:$M$94,F$9,0)</f>
        <v>MK3</v>
      </c>
      <c r="H20" s="274">
        <f>ROUND(VLOOKUP($E20,'BDEW-Standard'!$B$3:$M$94,H$9,0),7)</f>
        <v>2.7882424000000001</v>
      </c>
      <c r="I20" s="274">
        <f>ROUND(VLOOKUP($E20,'BDEW-Standard'!$B$3:$M$94,I$9,0),7)</f>
        <v>-34.880612999999997</v>
      </c>
      <c r="J20" s="274">
        <f>ROUND(VLOOKUP($E20,'BDEW-Standard'!$B$3:$M$94,J$9,0),7)</f>
        <v>6.5951899000000003</v>
      </c>
      <c r="K20" s="274">
        <f>ROUND(VLOOKUP($E20,'BDEW-Standard'!$B$3:$M$94,K$9,0),7)</f>
        <v>5.4032900000000002E-2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1.0622306107520199</v>
      </c>
      <c r="R20" s="275">
        <f>ROUND(VLOOKUP(MID($E20,4,3),'Wochentag F(WT)'!$B$7:$J$22,R$9,0),4)</f>
        <v>1.0699000000000001</v>
      </c>
      <c r="S20" s="275">
        <f>ROUND(VLOOKUP(MID($E20,4,3),'Wochentag F(WT)'!$B$7:$J$22,S$9,0),4)</f>
        <v>1.0365</v>
      </c>
      <c r="T20" s="275">
        <f>ROUND(VLOOKUP(MID($E20,4,3),'Wochentag F(WT)'!$B$7:$J$22,T$9,0),4)</f>
        <v>0.99329999999999996</v>
      </c>
      <c r="U20" s="275">
        <f>ROUND(VLOOKUP(MID($E20,4,3),'Wochentag F(WT)'!$B$7:$J$22,U$9,0),4)</f>
        <v>0.99480000000000002</v>
      </c>
      <c r="V20" s="275">
        <f>ROUND(VLOOKUP(MID($E20,4,3),'Wochentag F(WT)'!$B$7:$J$22,V$9,0),4)</f>
        <v>1.0659000000000001</v>
      </c>
      <c r="W20" s="275">
        <f>ROUND(VLOOKUP(MID($E20,4,3),'Wochentag F(WT)'!$B$7:$J$22,W$9,0),4)</f>
        <v>0.93620000000000003</v>
      </c>
      <c r="X20" s="276">
        <f t="shared" si="2"/>
        <v>0.90339999999999954</v>
      </c>
      <c r="Y20" s="293"/>
      <c r="Z20" s="211"/>
    </row>
    <row r="21" spans="2:26" s="143" customFormat="1">
      <c r="B21" s="144">
        <v>10</v>
      </c>
      <c r="C21" s="145" t="str">
        <f t="shared" si="0"/>
        <v>Monheim am Rhein</v>
      </c>
      <c r="D21" s="62" t="s">
        <v>248</v>
      </c>
      <c r="E21" s="165" t="s">
        <v>677</v>
      </c>
      <c r="F21" s="297" t="str">
        <f>VLOOKUP($E21,'BDEW-Standard'!$B$3:$M$94,F$9,0)</f>
        <v>PD3</v>
      </c>
      <c r="H21" s="274">
        <f>ROUND(VLOOKUP($E21,'BDEW-Standard'!$B$3:$M$94,H$9,0),7)</f>
        <v>3.2</v>
      </c>
      <c r="I21" s="274">
        <f>ROUND(VLOOKUP($E21,'BDEW-Standard'!$B$3:$M$94,I$9,0),7)</f>
        <v>-35.799999999999997</v>
      </c>
      <c r="J21" s="274">
        <f>ROUND(VLOOKUP($E21,'BDEW-Standard'!$B$3:$M$94,J$9,0),7)</f>
        <v>8.4</v>
      </c>
      <c r="K21" s="274">
        <f>ROUND(VLOOKUP($E21,'BDEW-Standard'!$B$3:$M$94,K$9,0),7)</f>
        <v>9.3848600000000004E-2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0.99106250024889242</v>
      </c>
      <c r="R21" s="275">
        <f>ROUND(VLOOKUP(MID($E21,4,3),'Wochentag F(WT)'!$B$7:$J$22,R$9,0),4)</f>
        <v>1.0214000000000001</v>
      </c>
      <c r="S21" s="275">
        <f>ROUND(VLOOKUP(MID($E21,4,3),'Wochentag F(WT)'!$B$7:$J$22,S$9,0),4)</f>
        <v>1.0866</v>
      </c>
      <c r="T21" s="275">
        <f>ROUND(VLOOKUP(MID($E21,4,3),'Wochentag F(WT)'!$B$7:$J$22,T$9,0),4)</f>
        <v>1.0720000000000001</v>
      </c>
      <c r="U21" s="275">
        <f>ROUND(VLOOKUP(MID($E21,4,3),'Wochentag F(WT)'!$B$7:$J$22,U$9,0),4)</f>
        <v>1.0557000000000001</v>
      </c>
      <c r="V21" s="275">
        <f>ROUND(VLOOKUP(MID($E21,4,3),'Wochentag F(WT)'!$B$7:$J$22,V$9,0),4)</f>
        <v>1.0117</v>
      </c>
      <c r="W21" s="275">
        <f>ROUND(VLOOKUP(MID($E21,4,3),'Wochentag F(WT)'!$B$7:$J$22,W$9,0),4)</f>
        <v>0.90010000000000001</v>
      </c>
      <c r="X21" s="276">
        <f t="shared" si="2"/>
        <v>0.85249999999999915</v>
      </c>
      <c r="Y21" s="293"/>
      <c r="Z21" s="211"/>
    </row>
    <row r="22" spans="2:26" s="143" customFormat="1">
      <c r="B22" s="144">
        <v>11</v>
      </c>
      <c r="C22" s="145" t="str">
        <f t="shared" si="0"/>
        <v>Monheim am Rhein</v>
      </c>
      <c r="D22" s="62" t="s">
        <v>248</v>
      </c>
      <c r="E22" s="165" t="s">
        <v>678</v>
      </c>
      <c r="F22" s="297" t="str">
        <f>VLOOKUP($E22,'BDEW-Standard'!$B$3:$M$94,F$9,0)</f>
        <v>WA3</v>
      </c>
      <c r="H22" s="274">
        <f>ROUND(VLOOKUP($E22,'BDEW-Standard'!$B$3:$M$94,H$9,0),7)</f>
        <v>0.76572899999999999</v>
      </c>
      <c r="I22" s="274">
        <f>ROUND(VLOOKUP($E22,'BDEW-Standard'!$B$3:$M$94,I$9,0),7)</f>
        <v>-36.023791199999998</v>
      </c>
      <c r="J22" s="274">
        <f>ROUND(VLOOKUP($E22,'BDEW-Standard'!$B$3:$M$94,J$9,0),7)</f>
        <v>4.8662747</v>
      </c>
      <c r="K22" s="274">
        <f>ROUND(VLOOKUP($E22,'BDEW-Standard'!$B$3:$M$94,K$9,0),7)</f>
        <v>0.80494250000000001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1.0804258319686442</v>
      </c>
      <c r="R22" s="275">
        <f>ROUND(VLOOKUP(MID($E22,4,3),'Wochentag F(WT)'!$B$7:$J$22,R$9,0),4)</f>
        <v>1.2457</v>
      </c>
      <c r="S22" s="275">
        <f>ROUND(VLOOKUP(MID($E22,4,3),'Wochentag F(WT)'!$B$7:$J$22,S$9,0),4)</f>
        <v>1.2615000000000001</v>
      </c>
      <c r="T22" s="275">
        <f>ROUND(VLOOKUP(MID($E22,4,3),'Wochentag F(WT)'!$B$7:$J$22,T$9,0),4)</f>
        <v>1.2706999999999999</v>
      </c>
      <c r="U22" s="275">
        <f>ROUND(VLOOKUP(MID($E22,4,3),'Wochentag F(WT)'!$B$7:$J$22,U$9,0),4)</f>
        <v>1.2430000000000001</v>
      </c>
      <c r="V22" s="275">
        <f>ROUND(VLOOKUP(MID($E22,4,3),'Wochentag F(WT)'!$B$7:$J$22,V$9,0),4)</f>
        <v>1.1275999999999999</v>
      </c>
      <c r="W22" s="275">
        <f>ROUND(VLOOKUP(MID($E22,4,3),'Wochentag F(WT)'!$B$7:$J$22,W$9,0),4)</f>
        <v>0.38769999999999999</v>
      </c>
      <c r="X22" s="276">
        <f t="shared" si="2"/>
        <v>0.46379999999999999</v>
      </c>
      <c r="Y22" s="293"/>
      <c r="Z22" s="211"/>
    </row>
    <row r="23" spans="2:26" s="143" customFormat="1">
      <c r="B23" s="144">
        <v>12</v>
      </c>
      <c r="C23" s="145" t="str">
        <f t="shared" si="0"/>
        <v>Monheim am Rhein</v>
      </c>
      <c r="D23" s="62" t="s">
        <v>248</v>
      </c>
      <c r="E23" s="165" t="s">
        <v>4</v>
      </c>
      <c r="F23" s="297" t="str">
        <f>VLOOKUP($E23,'BDEW-Standard'!$B$3:$M$94,F$9,0)</f>
        <v>D13</v>
      </c>
      <c r="H23" s="274">
        <f>ROUND(VLOOKUP($E23,'BDEW-Standard'!$B$3:$M$94,H$9,0),7)</f>
        <v>3.0469694999999999</v>
      </c>
      <c r="I23" s="274">
        <f>ROUND(VLOOKUP($E23,'BDEW-Standard'!$B$3:$M$94,I$9,0),7)</f>
        <v>-37.183314099999997</v>
      </c>
      <c r="J23" s="274">
        <f>ROUND(VLOOKUP($E23,'BDEW-Standard'!$B$3:$M$94,J$9,0),7)</f>
        <v>5.6727847000000002</v>
      </c>
      <c r="K23" s="274">
        <f>ROUND(VLOOKUP($E23,'BDEW-Standard'!$B$3:$M$94,K$9,0),7)</f>
        <v>9.6193100000000004E-2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1.0075192723557669</v>
      </c>
      <c r="R23" s="275">
        <f>ROUND(VLOOKUP(MID($E23,4,3),'Wochentag F(WT)'!$B$7:$J$22,R$9,0),4)</f>
        <v>1</v>
      </c>
      <c r="S23" s="275">
        <f>ROUND(VLOOKUP(MID($E23,4,3),'Wochentag F(WT)'!$B$7:$J$22,S$9,0),4)</f>
        <v>1</v>
      </c>
      <c r="T23" s="275">
        <f>ROUND(VLOOKUP(MID($E23,4,3),'Wochentag F(WT)'!$B$7:$J$22,T$9,0),4)</f>
        <v>1</v>
      </c>
      <c r="U23" s="275">
        <f>ROUND(VLOOKUP(MID($E23,4,3),'Wochentag F(WT)'!$B$7:$J$22,U$9,0),4)</f>
        <v>1</v>
      </c>
      <c r="V23" s="275">
        <f>ROUND(VLOOKUP(MID($E23,4,3),'Wochentag F(WT)'!$B$7:$J$22,V$9,0),4)</f>
        <v>1</v>
      </c>
      <c r="W23" s="275">
        <f>ROUND(VLOOKUP(MID($E23,4,3),'Wochentag F(WT)'!$B$7:$J$22,W$9,0),4)</f>
        <v>1</v>
      </c>
      <c r="X23" s="276">
        <f t="shared" si="2"/>
        <v>1</v>
      </c>
      <c r="Y23" s="293"/>
      <c r="Z23" s="211"/>
    </row>
    <row r="24" spans="2:26" s="143" customFormat="1">
      <c r="B24" s="144">
        <v>13</v>
      </c>
      <c r="C24" s="145" t="str">
        <f t="shared" si="0"/>
        <v>Monheim am Rhein</v>
      </c>
      <c r="D24" s="62" t="s">
        <v>248</v>
      </c>
      <c r="E24" s="165" t="s">
        <v>679</v>
      </c>
      <c r="F24" s="297" t="str">
        <f>VLOOKUP($E24,'BDEW-Standard'!$B$3:$M$94,F$9,0)</f>
        <v>D14</v>
      </c>
      <c r="H24" s="274">
        <f>ROUND(VLOOKUP($E24,'BDEW-Standard'!$B$3:$M$94,H$9,0),7)</f>
        <v>3.1850190999999999</v>
      </c>
      <c r="I24" s="274">
        <f>ROUND(VLOOKUP($E24,'BDEW-Standard'!$B$3:$M$94,I$9,0),7)</f>
        <v>-37.412415500000002</v>
      </c>
      <c r="J24" s="274">
        <f>ROUND(VLOOKUP($E24,'BDEW-Standard'!$B$3:$M$94,J$9,0),7)</f>
        <v>6.1723179000000004</v>
      </c>
      <c r="K24" s="274">
        <f>ROUND(VLOOKUP($E24,'BDEW-Standard'!$B$3:$M$94,K$9,0),7)</f>
        <v>7.6109599999999999E-2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0.95508749343949439</v>
      </c>
      <c r="R24" s="275">
        <f>ROUND(VLOOKUP(MID($E24,4,3),'Wochentag F(WT)'!$B$7:$J$22,R$9,0),4)</f>
        <v>1</v>
      </c>
      <c r="S24" s="275">
        <f>ROUND(VLOOKUP(MID($E24,4,3),'Wochentag F(WT)'!$B$7:$J$22,S$9,0),4)</f>
        <v>1</v>
      </c>
      <c r="T24" s="275">
        <f>ROUND(VLOOKUP(MID($E24,4,3),'Wochentag F(WT)'!$B$7:$J$22,T$9,0),4)</f>
        <v>1</v>
      </c>
      <c r="U24" s="275">
        <f>ROUND(VLOOKUP(MID($E24,4,3),'Wochentag F(WT)'!$B$7:$J$22,U$9,0),4)</f>
        <v>1</v>
      </c>
      <c r="V24" s="275">
        <f>ROUND(VLOOKUP(MID($E24,4,3),'Wochentag F(WT)'!$B$7:$J$22,V$9,0),4)</f>
        <v>1</v>
      </c>
      <c r="W24" s="275">
        <f>ROUND(VLOOKUP(MID($E24,4,3),'Wochentag F(WT)'!$B$7:$J$22,W$9,0),4)</f>
        <v>1</v>
      </c>
      <c r="X24" s="276">
        <f t="shared" si="2"/>
        <v>1</v>
      </c>
      <c r="Y24" s="293"/>
      <c r="Z24" s="211"/>
    </row>
    <row r="25" spans="2:26" s="143" customFormat="1">
      <c r="B25" s="144">
        <v>14</v>
      </c>
      <c r="C25" s="145" t="str">
        <f t="shared" si="0"/>
        <v>Monheim am Rhein</v>
      </c>
      <c r="D25" s="62" t="s">
        <v>248</v>
      </c>
      <c r="E25" s="165" t="s">
        <v>5</v>
      </c>
      <c r="F25" s="297" t="str">
        <f>VLOOKUP($E25,'BDEW-Standard'!$B$3:$M$94,F$9,0)</f>
        <v>HK3</v>
      </c>
      <c r="H25" s="274">
        <f>ROUND(VLOOKUP($E25,'BDEW-Standard'!$B$3:$M$94,H$9,0),7)</f>
        <v>0.40409319999999999</v>
      </c>
      <c r="I25" s="274">
        <f>ROUND(VLOOKUP($E25,'BDEW-Standard'!$B$3:$M$94,I$9,0),7)</f>
        <v>-24.439296800000001</v>
      </c>
      <c r="J25" s="274">
        <f>ROUND(VLOOKUP($E25,'BDEW-Standard'!$B$3:$M$94,J$9,0),7)</f>
        <v>6.5718174999999999</v>
      </c>
      <c r="K25" s="274">
        <f>ROUND(VLOOKUP($E25,'BDEW-Standard'!$B$3:$M$94,K$9,0),7)</f>
        <v>0.71077100000000004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1.0561214000512988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Monheim am Rhein</v>
      </c>
      <c r="D26" s="62" t="s">
        <v>248</v>
      </c>
      <c r="E26" s="165" t="s">
        <v>587</v>
      </c>
      <c r="F26" s="297" t="str">
        <f>VLOOKUP($E26,'BDEW-Standard'!$B$3:$M$94,F$9,0)</f>
        <v>D23</v>
      </c>
      <c r="H26" s="274">
        <f>ROUND(VLOOKUP($E26,'BDEW-Standard'!$B$3:$M$94,H$9,0),7)</f>
        <v>2.3877617999999998</v>
      </c>
      <c r="I26" s="274">
        <f>ROUND(VLOOKUP($E26,'BDEW-Standard'!$B$3:$M$94,I$9,0),7)</f>
        <v>-34.721360500000003</v>
      </c>
      <c r="J26" s="274">
        <f>ROUND(VLOOKUP($E26,'BDEW-Standard'!$B$3:$M$94,J$9,0),7)</f>
        <v>5.8164303999999998</v>
      </c>
      <c r="K26" s="274">
        <f>ROUND(VLOOKUP($E26,'BDEW-Standard'!$B$3:$M$94,K$9,0),7)</f>
        <v>0.12081939999999999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1"/>
        <v>1.0365184142102302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2"/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>Monheim am Rhein</v>
      </c>
      <c r="D27" s="62" t="s">
        <v>248</v>
      </c>
      <c r="E27" s="166" t="s">
        <v>680</v>
      </c>
      <c r="F27" s="297" t="str">
        <f>VLOOKUP($E27,'BDEW-Standard'!$B$3:$M$94,F$9,0)</f>
        <v>D24</v>
      </c>
      <c r="H27" s="274">
        <f>ROUND(VLOOKUP($E27,'BDEW-Standard'!$B$3:$M$94,H$9,0),7)</f>
        <v>2.5187775000000001</v>
      </c>
      <c r="I27" s="274">
        <f>ROUND(VLOOKUP($E27,'BDEW-Standard'!$B$3:$M$94,I$9,0),7)</f>
        <v>-35.033375399999997</v>
      </c>
      <c r="J27" s="274">
        <f>ROUND(VLOOKUP($E27,'BDEW-Standard'!$B$3:$M$94,J$9,0),7)</f>
        <v>6.2240634000000004</v>
      </c>
      <c r="K27" s="274">
        <f>ROUND(VLOOKUP($E27,'BDEW-Standard'!$B$3:$M$94,K$9,0),7)</f>
        <v>0.10107820000000001</v>
      </c>
      <c r="L27" s="338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9">
        <f t="shared" si="1"/>
        <v>1.0146273685996503</v>
      </c>
      <c r="R27" s="275">
        <f>ROUND(VLOOKUP(MID($E27,4,3),'Wochentag F(WT)'!$B$7:$J$22,R$9,0),4)</f>
        <v>1</v>
      </c>
      <c r="S27" s="275">
        <f>ROUND(VLOOKUP(MID($E27,4,3),'Wochentag F(WT)'!$B$7:$J$22,S$9,0),4)</f>
        <v>1</v>
      </c>
      <c r="T27" s="275">
        <f>ROUND(VLOOKUP(MID($E27,4,3),'Wochentag F(WT)'!$B$7:$J$22,T$9,0),4)</f>
        <v>1</v>
      </c>
      <c r="U27" s="275">
        <f>ROUND(VLOOKUP(MID($E27,4,3),'Wochentag F(WT)'!$B$7:$J$22,U$9,0),4)</f>
        <v>1</v>
      </c>
      <c r="V27" s="275">
        <f>ROUND(VLOOKUP(MID($E27,4,3),'Wochentag F(WT)'!$B$7:$J$22,V$9,0),4)</f>
        <v>1</v>
      </c>
      <c r="W27" s="275">
        <f>ROUND(VLOOKUP(MID($E27,4,3),'Wochentag F(WT)'!$B$7:$J$22,W$9,0),4)</f>
        <v>1</v>
      </c>
      <c r="X27" s="276">
        <f t="shared" ref="X27" si="3">7-SUM(R27:W27)</f>
        <v>1</v>
      </c>
      <c r="Y27" s="293"/>
    </row>
    <row r="28" spans="2:26" s="143" customFormat="1">
      <c r="B28" s="144">
        <v>17</v>
      </c>
      <c r="C28" s="145" t="str">
        <f t="shared" si="0"/>
        <v>Monheim am Rhein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Monheim am Rhein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Monheim am Rhein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Monheim am Rhein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Monheim am Rhein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Monheim am Rhein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Monheim am Rhein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Monheim am Rhein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Monheim am Rhein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Monheim am Rhein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Monheim am Rhein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Monheim am Rhein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Monheim am Rhein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Monheim am Rhein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6 H12:K26 C13:C33 C34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O22" sqref="O2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MEGA Monheimer Elektrizitäts- und Gasversorgung GmbH</v>
      </c>
      <c r="D4" s="76"/>
      <c r="G4" s="76"/>
      <c r="I4" s="76"/>
      <c r="J4" s="77"/>
      <c r="M4" s="86" t="s">
        <v>542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Monheim am Rhein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9870079500005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462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374</v>
      </c>
      <c r="O9" s="92" t="s">
        <v>375</v>
      </c>
      <c r="P9" s="92" t="s">
        <v>376</v>
      </c>
      <c r="Q9" s="92" t="s">
        <v>377</v>
      </c>
      <c r="R9" s="92" t="s">
        <v>378</v>
      </c>
      <c r="S9" s="92" t="s">
        <v>379</v>
      </c>
      <c r="T9" s="92" t="s">
        <v>380</v>
      </c>
      <c r="U9" s="92" t="s">
        <v>381</v>
      </c>
      <c r="V9" s="92" t="s">
        <v>382</v>
      </c>
      <c r="W9" s="92" t="s">
        <v>383</v>
      </c>
      <c r="X9" s="92" t="s">
        <v>384</v>
      </c>
      <c r="Y9" s="92" t="s">
        <v>385</v>
      </c>
      <c r="Z9" s="92" t="s">
        <v>386</v>
      </c>
      <c r="AA9" s="92" t="s">
        <v>387</v>
      </c>
      <c r="AB9" s="92" t="s">
        <v>388</v>
      </c>
      <c r="AC9" s="93" t="s">
        <v>389</v>
      </c>
      <c r="AD9" s="93" t="s">
        <v>431</v>
      </c>
    </row>
    <row r="10" spans="2:30" ht="72" customHeight="1" thickBot="1">
      <c r="B10" s="350" t="s">
        <v>586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400</v>
      </c>
      <c r="G10" s="348"/>
      <c r="H10" s="348"/>
      <c r="I10" s="348"/>
      <c r="J10" s="348"/>
      <c r="K10" s="348"/>
      <c r="L10" s="349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432</v>
      </c>
    </row>
    <row r="11" spans="2:30" ht="15.75" thickBot="1">
      <c r="B11" s="102" t="s">
        <v>423</v>
      </c>
      <c r="C11" s="103"/>
      <c r="D11" s="104">
        <v>3</v>
      </c>
      <c r="E11" s="105"/>
      <c r="F11" s="106" t="s">
        <v>391</v>
      </c>
      <c r="G11" s="107" t="s">
        <v>392</v>
      </c>
      <c r="H11" s="107" t="s">
        <v>393</v>
      </c>
      <c r="I11" s="107" t="s">
        <v>394</v>
      </c>
      <c r="J11" s="107" t="s">
        <v>395</v>
      </c>
      <c r="K11" s="107" t="s">
        <v>396</v>
      </c>
      <c r="L11" s="108" t="s">
        <v>397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401</v>
      </c>
      <c r="C12" s="110"/>
      <c r="D12" s="111">
        <v>4</v>
      </c>
      <c r="E12" s="304">
        <f>MIN(SUMPRODUCT($M$11:$AD$11,M12:AD12),1)</f>
        <v>1</v>
      </c>
      <c r="F12" s="301" t="s">
        <v>397</v>
      </c>
      <c r="G12" s="78" t="s">
        <v>397</v>
      </c>
      <c r="H12" s="78" t="s">
        <v>397</v>
      </c>
      <c r="I12" s="78" t="s">
        <v>397</v>
      </c>
      <c r="J12" s="78" t="s">
        <v>397</v>
      </c>
      <c r="K12" s="78" t="s">
        <v>397</v>
      </c>
      <c r="L12" s="79" t="s">
        <v>397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402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397</v>
      </c>
      <c r="G13" s="80" t="s">
        <v>397</v>
      </c>
      <c r="H13" s="80" t="s">
        <v>397</v>
      </c>
      <c r="I13" s="80" t="s">
        <v>397</v>
      </c>
      <c r="J13" s="80" t="s">
        <v>397</v>
      </c>
      <c r="K13" s="80" t="s">
        <v>397</v>
      </c>
      <c r="L13" s="81" t="s">
        <v>397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403</v>
      </c>
      <c r="C14" s="117"/>
      <c r="D14" s="111">
        <v>6</v>
      </c>
      <c r="E14" s="305">
        <f t="shared" si="0"/>
        <v>0</v>
      </c>
      <c r="F14" s="302" t="s">
        <v>397</v>
      </c>
      <c r="G14" s="80" t="s">
        <v>404</v>
      </c>
      <c r="H14" s="80" t="s">
        <v>404</v>
      </c>
      <c r="I14" s="80" t="s">
        <v>404</v>
      </c>
      <c r="J14" s="80" t="s">
        <v>404</v>
      </c>
      <c r="K14" s="80" t="s">
        <v>404</v>
      </c>
      <c r="L14" s="81" t="s">
        <v>404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405</v>
      </c>
      <c r="C15" s="117"/>
      <c r="D15" s="111">
        <v>7</v>
      </c>
      <c r="E15" s="305">
        <f t="shared" si="0"/>
        <v>0</v>
      </c>
      <c r="F15" s="302" t="s">
        <v>404</v>
      </c>
      <c r="G15" s="80" t="s">
        <v>396</v>
      </c>
      <c r="H15" s="80" t="s">
        <v>404</v>
      </c>
      <c r="I15" s="80" t="s">
        <v>404</v>
      </c>
      <c r="J15" s="80" t="s">
        <v>404</v>
      </c>
      <c r="K15" s="80" t="s">
        <v>404</v>
      </c>
      <c r="L15" s="81" t="s">
        <v>404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417</v>
      </c>
      <c r="C16" s="117"/>
      <c r="D16" s="111">
        <v>8</v>
      </c>
      <c r="E16" s="305">
        <f t="shared" si="0"/>
        <v>1</v>
      </c>
      <c r="F16" s="302" t="s">
        <v>404</v>
      </c>
      <c r="G16" s="80" t="s">
        <v>404</v>
      </c>
      <c r="H16" s="80" t="s">
        <v>404</v>
      </c>
      <c r="I16" s="80" t="s">
        <v>404</v>
      </c>
      <c r="J16" s="80" t="s">
        <v>397</v>
      </c>
      <c r="K16" s="80" t="s">
        <v>404</v>
      </c>
      <c r="L16" s="81" t="s">
        <v>404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418</v>
      </c>
      <c r="C17" s="117"/>
      <c r="D17" s="111">
        <v>9</v>
      </c>
      <c r="E17" s="305">
        <f t="shared" si="0"/>
        <v>1</v>
      </c>
      <c r="F17" s="302" t="s">
        <v>404</v>
      </c>
      <c r="G17" s="80" t="s">
        <v>404</v>
      </c>
      <c r="H17" s="80" t="s">
        <v>404</v>
      </c>
      <c r="I17" s="80" t="s">
        <v>404</v>
      </c>
      <c r="J17" s="80" t="s">
        <v>404</v>
      </c>
      <c r="K17" s="80" t="s">
        <v>404</v>
      </c>
      <c r="L17" s="81" t="s">
        <v>397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419</v>
      </c>
      <c r="C18" s="117"/>
      <c r="D18" s="111">
        <v>10</v>
      </c>
      <c r="E18" s="305">
        <f t="shared" si="0"/>
        <v>1</v>
      </c>
      <c r="F18" s="302" t="s">
        <v>397</v>
      </c>
      <c r="G18" s="80" t="s">
        <v>404</v>
      </c>
      <c r="H18" s="80" t="s">
        <v>404</v>
      </c>
      <c r="I18" s="80" t="s">
        <v>404</v>
      </c>
      <c r="J18" s="80" t="s">
        <v>404</v>
      </c>
      <c r="K18" s="80" t="s">
        <v>404</v>
      </c>
      <c r="L18" s="81" t="s">
        <v>404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406</v>
      </c>
      <c r="C19" s="117"/>
      <c r="D19" s="111">
        <v>11</v>
      </c>
      <c r="E19" s="305">
        <f t="shared" si="0"/>
        <v>1</v>
      </c>
      <c r="F19" s="302" t="s">
        <v>397</v>
      </c>
      <c r="G19" s="80" t="s">
        <v>397</v>
      </c>
      <c r="H19" s="80" t="s">
        <v>397</v>
      </c>
      <c r="I19" s="80" t="s">
        <v>397</v>
      </c>
      <c r="J19" s="80" t="s">
        <v>397</v>
      </c>
      <c r="K19" s="80" t="s">
        <v>397</v>
      </c>
      <c r="L19" s="81" t="s">
        <v>397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653</v>
      </c>
      <c r="C20" s="117"/>
      <c r="D20" s="111">
        <v>12</v>
      </c>
      <c r="E20" s="305">
        <f t="shared" si="0"/>
        <v>1</v>
      </c>
      <c r="F20" s="302" t="s">
        <v>404</v>
      </c>
      <c r="G20" s="80" t="s">
        <v>404</v>
      </c>
      <c r="H20" s="80" t="s">
        <v>404</v>
      </c>
      <c r="I20" s="80" t="s">
        <v>397</v>
      </c>
      <c r="J20" s="80" t="s">
        <v>404</v>
      </c>
      <c r="K20" s="80" t="s">
        <v>404</v>
      </c>
      <c r="L20" s="81" t="s">
        <v>404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420</v>
      </c>
      <c r="C21" s="117"/>
      <c r="D21" s="111">
        <v>13</v>
      </c>
      <c r="E21" s="305">
        <f t="shared" si="0"/>
        <v>1</v>
      </c>
      <c r="F21" s="302" t="s">
        <v>404</v>
      </c>
      <c r="G21" s="80" t="s">
        <v>404</v>
      </c>
      <c r="H21" s="80" t="s">
        <v>404</v>
      </c>
      <c r="I21" s="80" t="s">
        <v>404</v>
      </c>
      <c r="J21" s="80" t="s">
        <v>404</v>
      </c>
      <c r="K21" s="80" t="s">
        <v>404</v>
      </c>
      <c r="L21" s="81" t="s">
        <v>397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421</v>
      </c>
      <c r="C22" s="117"/>
      <c r="D22" s="111">
        <v>14</v>
      </c>
      <c r="E22" s="305">
        <f t="shared" si="0"/>
        <v>1</v>
      </c>
      <c r="F22" s="302" t="s">
        <v>397</v>
      </c>
      <c r="G22" s="80" t="s">
        <v>404</v>
      </c>
      <c r="H22" s="80" t="s">
        <v>404</v>
      </c>
      <c r="I22" s="80" t="s">
        <v>404</v>
      </c>
      <c r="J22" s="80" t="s">
        <v>404</v>
      </c>
      <c r="K22" s="80" t="s">
        <v>404</v>
      </c>
      <c r="L22" s="81" t="s">
        <v>404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422</v>
      </c>
      <c r="C23" s="117"/>
      <c r="D23" s="111">
        <v>15</v>
      </c>
      <c r="E23" s="305">
        <f t="shared" si="0"/>
        <v>1</v>
      </c>
      <c r="F23" s="302" t="s">
        <v>404</v>
      </c>
      <c r="G23" s="80" t="s">
        <v>404</v>
      </c>
      <c r="H23" s="80" t="s">
        <v>404</v>
      </c>
      <c r="I23" s="80" t="s">
        <v>397</v>
      </c>
      <c r="J23" s="80" t="s">
        <v>404</v>
      </c>
      <c r="K23" s="80" t="s">
        <v>404</v>
      </c>
      <c r="L23" s="81" t="s">
        <v>404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407</v>
      </c>
      <c r="C24" s="117"/>
      <c r="D24" s="111">
        <v>16</v>
      </c>
      <c r="E24" s="305">
        <f t="shared" si="0"/>
        <v>0</v>
      </c>
      <c r="F24" s="302" t="s">
        <v>397</v>
      </c>
      <c r="G24" s="80" t="s">
        <v>397</v>
      </c>
      <c r="H24" s="80" t="s">
        <v>397</v>
      </c>
      <c r="I24" s="80" t="s">
        <v>397</v>
      </c>
      <c r="J24" s="80" t="s">
        <v>397</v>
      </c>
      <c r="K24" s="80" t="s">
        <v>397</v>
      </c>
      <c r="L24" s="81" t="s">
        <v>397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408</v>
      </c>
      <c r="C25" s="117"/>
      <c r="D25" s="111">
        <v>17</v>
      </c>
      <c r="E25" s="305">
        <f t="shared" si="0"/>
        <v>0</v>
      </c>
      <c r="F25" s="302" t="s">
        <v>397</v>
      </c>
      <c r="G25" s="80" t="s">
        <v>397</v>
      </c>
      <c r="H25" s="80" t="s">
        <v>397</v>
      </c>
      <c r="I25" s="80" t="s">
        <v>397</v>
      </c>
      <c r="J25" s="80" t="s">
        <v>397</v>
      </c>
      <c r="K25" s="80" t="s">
        <v>397</v>
      </c>
      <c r="L25" s="81" t="s">
        <v>397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409</v>
      </c>
      <c r="C26" s="117"/>
      <c r="D26" s="111">
        <v>18</v>
      </c>
      <c r="E26" s="305">
        <f t="shared" si="0"/>
        <v>1</v>
      </c>
      <c r="F26" s="302" t="s">
        <v>397</v>
      </c>
      <c r="G26" s="80" t="s">
        <v>397</v>
      </c>
      <c r="H26" s="80" t="s">
        <v>397</v>
      </c>
      <c r="I26" s="80" t="s">
        <v>397</v>
      </c>
      <c r="J26" s="80" t="s">
        <v>397</v>
      </c>
      <c r="K26" s="80" t="s">
        <v>397</v>
      </c>
      <c r="L26" s="81" t="s">
        <v>397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410</v>
      </c>
      <c r="C27" s="117"/>
      <c r="D27" s="111">
        <v>19</v>
      </c>
      <c r="E27" s="305">
        <f t="shared" si="0"/>
        <v>0</v>
      </c>
      <c r="F27" s="302" t="s">
        <v>397</v>
      </c>
      <c r="G27" s="80" t="s">
        <v>397</v>
      </c>
      <c r="H27" s="80" t="s">
        <v>397</v>
      </c>
      <c r="I27" s="80" t="s">
        <v>397</v>
      </c>
      <c r="J27" s="80" t="s">
        <v>397</v>
      </c>
      <c r="K27" s="80" t="s">
        <v>397</v>
      </c>
      <c r="L27" s="81" t="s">
        <v>397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411</v>
      </c>
      <c r="C28" s="117"/>
      <c r="D28" s="111">
        <v>20</v>
      </c>
      <c r="E28" s="305">
        <f t="shared" si="0"/>
        <v>1</v>
      </c>
      <c r="F28" s="302" t="s">
        <v>397</v>
      </c>
      <c r="G28" s="80" t="s">
        <v>397</v>
      </c>
      <c r="H28" s="80" t="s">
        <v>397</v>
      </c>
      <c r="I28" s="80" t="s">
        <v>397</v>
      </c>
      <c r="J28" s="80" t="s">
        <v>397</v>
      </c>
      <c r="K28" s="80" t="s">
        <v>397</v>
      </c>
      <c r="L28" s="81" t="s">
        <v>397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412</v>
      </c>
      <c r="C29" s="117"/>
      <c r="D29" s="111">
        <v>21</v>
      </c>
      <c r="E29" s="305">
        <f t="shared" si="0"/>
        <v>0</v>
      </c>
      <c r="F29" s="302" t="s">
        <v>404</v>
      </c>
      <c r="G29" s="80" t="s">
        <v>404</v>
      </c>
      <c r="H29" s="80" t="s">
        <v>397</v>
      </c>
      <c r="I29" s="80" t="s">
        <v>404</v>
      </c>
      <c r="J29" s="80" t="s">
        <v>404</v>
      </c>
      <c r="K29" s="80" t="s">
        <v>404</v>
      </c>
      <c r="L29" s="81" t="s">
        <v>404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413</v>
      </c>
      <c r="C30" s="117"/>
      <c r="D30" s="111">
        <v>22</v>
      </c>
      <c r="E30" s="305">
        <f t="shared" si="0"/>
        <v>0</v>
      </c>
      <c r="F30" s="302" t="s">
        <v>396</v>
      </c>
      <c r="G30" s="80" t="s">
        <v>396</v>
      </c>
      <c r="H30" s="80" t="s">
        <v>396</v>
      </c>
      <c r="I30" s="80" t="s">
        <v>396</v>
      </c>
      <c r="J30" s="80" t="s">
        <v>396</v>
      </c>
      <c r="K30" s="80" t="s">
        <v>396</v>
      </c>
      <c r="L30" s="81" t="s">
        <v>397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414</v>
      </c>
      <c r="C31" s="117"/>
      <c r="D31" s="111">
        <v>23</v>
      </c>
      <c r="E31" s="305">
        <f t="shared" si="0"/>
        <v>1</v>
      </c>
      <c r="F31" s="302" t="s">
        <v>397</v>
      </c>
      <c r="G31" s="80" t="s">
        <v>397</v>
      </c>
      <c r="H31" s="80" t="s">
        <v>397</v>
      </c>
      <c r="I31" s="80" t="s">
        <v>397</v>
      </c>
      <c r="J31" s="80" t="s">
        <v>397</v>
      </c>
      <c r="K31" s="80" t="s">
        <v>397</v>
      </c>
      <c r="L31" s="81" t="s">
        <v>397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415</v>
      </c>
      <c r="C32" s="117"/>
      <c r="D32" s="111">
        <v>24</v>
      </c>
      <c r="E32" s="305">
        <f t="shared" si="0"/>
        <v>1</v>
      </c>
      <c r="F32" s="302" t="s">
        <v>397</v>
      </c>
      <c r="G32" s="80" t="s">
        <v>397</v>
      </c>
      <c r="H32" s="80" t="s">
        <v>397</v>
      </c>
      <c r="I32" s="80" t="s">
        <v>397</v>
      </c>
      <c r="J32" s="80" t="s">
        <v>397</v>
      </c>
      <c r="K32" s="80" t="s">
        <v>397</v>
      </c>
      <c r="L32" s="81" t="s">
        <v>397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416</v>
      </c>
      <c r="C33" s="123"/>
      <c r="D33" s="124">
        <v>25</v>
      </c>
      <c r="E33" s="306">
        <f t="shared" si="0"/>
        <v>0</v>
      </c>
      <c r="F33" s="303" t="s">
        <v>396</v>
      </c>
      <c r="G33" s="82" t="s">
        <v>396</v>
      </c>
      <c r="H33" s="82" t="s">
        <v>396</v>
      </c>
      <c r="I33" s="82" t="s">
        <v>396</v>
      </c>
      <c r="J33" s="82" t="s">
        <v>396</v>
      </c>
      <c r="K33" s="82" t="s">
        <v>396</v>
      </c>
      <c r="L33" s="83" t="s">
        <v>397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349</v>
      </c>
      <c r="B1" s="213">
        <v>42173</v>
      </c>
      <c r="D1" s="131" t="s">
        <v>458</v>
      </c>
      <c r="F1" s="214" t="s">
        <v>548</v>
      </c>
      <c r="N1" s="215"/>
    </row>
    <row r="2" spans="1:14" ht="25.5">
      <c r="A2" s="216" t="s">
        <v>272</v>
      </c>
      <c r="B2" s="217" t="s">
        <v>147</v>
      </c>
      <c r="C2" s="218" t="s">
        <v>149</v>
      </c>
      <c r="D2" s="219" t="s">
        <v>150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71</v>
      </c>
      <c r="J2" s="220" t="s">
        <v>151</v>
      </c>
      <c r="K2" s="220" t="s">
        <v>152</v>
      </c>
      <c r="L2" s="220" t="s">
        <v>153</v>
      </c>
      <c r="M2" s="222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154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155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156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157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158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159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160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161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162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163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656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164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165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166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167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168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169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170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171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172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173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174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175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176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177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178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179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180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181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182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183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184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185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186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187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188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189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190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191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192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193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194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195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196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197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198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199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200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201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202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203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204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205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206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207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208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209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210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211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212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213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214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215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216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217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218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219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220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221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222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223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224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225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226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227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228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229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230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231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232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233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234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235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236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237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238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239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240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241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242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243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244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2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246</v>
      </c>
      <c r="B96" s="128" t="s">
        <v>56</v>
      </c>
      <c r="C96" s="128" t="s">
        <v>323</v>
      </c>
      <c r="D96" s="232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246</v>
      </c>
      <c r="B97" s="128" t="s">
        <v>61</v>
      </c>
      <c r="C97" s="128" t="s">
        <v>328</v>
      </c>
      <c r="D97" s="232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246</v>
      </c>
      <c r="B98" s="128" t="s">
        <v>66</v>
      </c>
      <c r="C98" s="128" t="s">
        <v>333</v>
      </c>
      <c r="D98" s="232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246</v>
      </c>
      <c r="B99" s="128" t="s">
        <v>19</v>
      </c>
      <c r="C99" s="128" t="s">
        <v>286</v>
      </c>
      <c r="D99" s="232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2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2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2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2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2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2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2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2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2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2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2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2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2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2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2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2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2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2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2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2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2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2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2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2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2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2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2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2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2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2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2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2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2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2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2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2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2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2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2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2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2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2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2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2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2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2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2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2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2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2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2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2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2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2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2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2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2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2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2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459</v>
      </c>
      <c r="B1" s="128"/>
      <c r="D1" s="214" t="s">
        <v>548</v>
      </c>
    </row>
    <row r="2" spans="1:16">
      <c r="A2" s="234"/>
      <c r="B2" s="233" t="s">
        <v>460</v>
      </c>
    </row>
    <row r="3" spans="1:16" ht="20.100000000000001" customHeight="1">
      <c r="A3" s="352" t="s">
        <v>249</v>
      </c>
      <c r="B3" s="235" t="s">
        <v>87</v>
      </c>
      <c r="C3" s="236"/>
      <c r="D3" s="354" t="s">
        <v>461</v>
      </c>
      <c r="E3" s="355"/>
      <c r="F3" s="355"/>
      <c r="G3" s="355"/>
      <c r="H3" s="355"/>
      <c r="I3" s="355"/>
      <c r="J3" s="356"/>
      <c r="K3" s="237"/>
      <c r="L3" s="237"/>
      <c r="M3" s="237"/>
      <c r="N3" s="237"/>
      <c r="O3" s="238"/>
      <c r="P3" s="237"/>
    </row>
    <row r="4" spans="1:16" ht="20.100000000000001" customHeight="1">
      <c r="A4" s="353"/>
      <c r="B4" s="239"/>
      <c r="C4" s="240"/>
      <c r="D4" s="241" t="s">
        <v>88</v>
      </c>
      <c r="E4" s="241" t="s">
        <v>89</v>
      </c>
      <c r="F4" s="241" t="s">
        <v>90</v>
      </c>
      <c r="G4" s="241" t="s">
        <v>91</v>
      </c>
      <c r="H4" s="241" t="s">
        <v>92</v>
      </c>
      <c r="I4" s="241" t="s">
        <v>93</v>
      </c>
      <c r="J4" s="241" t="s">
        <v>94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95</v>
      </c>
      <c r="C5" s="240"/>
      <c r="D5" s="241" t="s">
        <v>96</v>
      </c>
      <c r="E5" s="241" t="s">
        <v>97</v>
      </c>
      <c r="F5" s="241" t="s">
        <v>98</v>
      </c>
      <c r="G5" s="241" t="s">
        <v>99</v>
      </c>
      <c r="H5" s="241" t="s">
        <v>100</v>
      </c>
      <c r="I5" s="241" t="s">
        <v>101</v>
      </c>
      <c r="J5" s="241" t="s">
        <v>102</v>
      </c>
      <c r="K5" s="241" t="s">
        <v>103</v>
      </c>
      <c r="L5" s="242" t="s">
        <v>104</v>
      </c>
      <c r="M5" s="242" t="s">
        <v>105</v>
      </c>
      <c r="N5" s="244" t="s">
        <v>148</v>
      </c>
      <c r="O5" s="244" t="s">
        <v>251</v>
      </c>
      <c r="P5" s="245" t="s">
        <v>250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106</v>
      </c>
      <c r="C7" s="249" t="s">
        <v>107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103</v>
      </c>
      <c r="M7" s="251">
        <f t="shared" ref="M7:M21" si="0">MAX(D7:J7)</f>
        <v>1</v>
      </c>
      <c r="N7" s="252" t="s">
        <v>370</v>
      </c>
      <c r="O7" s="247"/>
      <c r="P7" s="241"/>
    </row>
    <row r="8" spans="1:16" ht="21" customHeight="1">
      <c r="A8" s="248">
        <v>2</v>
      </c>
      <c r="B8" s="241" t="s">
        <v>108</v>
      </c>
      <c r="C8" s="249" t="s">
        <v>109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103</v>
      </c>
      <c r="M8" s="251">
        <f t="shared" si="0"/>
        <v>1</v>
      </c>
      <c r="N8" s="252" t="s">
        <v>370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6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103</v>
      </c>
      <c r="M9" s="251">
        <f t="shared" ref="M9" si="1">MAX(D9:J9)</f>
        <v>1</v>
      </c>
      <c r="N9" s="252" t="s">
        <v>6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110</v>
      </c>
      <c r="C11" s="257" t="s">
        <v>111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97</v>
      </c>
      <c r="M11" s="251">
        <f t="shared" si="0"/>
        <v>1.0522626697461936</v>
      </c>
      <c r="N11" s="252" t="s">
        <v>254</v>
      </c>
      <c r="O11" s="247" t="s">
        <v>252</v>
      </c>
      <c r="P11" s="241"/>
    </row>
    <row r="12" spans="1:16">
      <c r="A12" s="248">
        <v>5</v>
      </c>
      <c r="B12" s="241" t="s">
        <v>112</v>
      </c>
      <c r="C12" s="257" t="s">
        <v>113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96</v>
      </c>
      <c r="M12" s="251">
        <f t="shared" si="0"/>
        <v>1.0358469949391176</v>
      </c>
      <c r="N12" s="252" t="s">
        <v>254</v>
      </c>
      <c r="O12" s="247" t="s">
        <v>252</v>
      </c>
      <c r="P12" s="241"/>
    </row>
    <row r="13" spans="1:16">
      <c r="A13" s="248">
        <v>6</v>
      </c>
      <c r="B13" s="241" t="s">
        <v>114</v>
      </c>
      <c r="C13" s="257" t="s">
        <v>115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96</v>
      </c>
      <c r="M13" s="251">
        <f t="shared" si="0"/>
        <v>1.069856584592316</v>
      </c>
      <c r="N13" s="252" t="s">
        <v>254</v>
      </c>
      <c r="O13" s="247" t="s">
        <v>252</v>
      </c>
      <c r="P13" s="241"/>
    </row>
    <row r="14" spans="1:16" ht="21" customHeight="1">
      <c r="A14" s="248">
        <v>7</v>
      </c>
      <c r="B14" s="241" t="s">
        <v>116</v>
      </c>
      <c r="C14" s="257" t="s">
        <v>117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96</v>
      </c>
      <c r="M14" s="251">
        <f t="shared" si="0"/>
        <v>1.1052461688999999</v>
      </c>
      <c r="N14" s="252" t="s">
        <v>254</v>
      </c>
      <c r="O14" s="247" t="s">
        <v>252</v>
      </c>
      <c r="P14" s="241"/>
    </row>
    <row r="15" spans="1:16" ht="21" customHeight="1">
      <c r="A15" s="248">
        <v>8</v>
      </c>
      <c r="B15" s="241" t="s">
        <v>118</v>
      </c>
      <c r="C15" s="257" t="s">
        <v>119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97</v>
      </c>
      <c r="M15" s="251">
        <f t="shared" si="0"/>
        <v>1.0389446761000001</v>
      </c>
      <c r="N15" s="252" t="s">
        <v>254</v>
      </c>
      <c r="O15" s="247" t="s">
        <v>252</v>
      </c>
      <c r="P15" s="241"/>
    </row>
    <row r="16" spans="1:16" ht="21" customHeight="1">
      <c r="A16" s="248">
        <v>9</v>
      </c>
      <c r="B16" s="241" t="s">
        <v>124</v>
      </c>
      <c r="C16" s="257" t="s">
        <v>125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98</v>
      </c>
      <c r="M16" s="251">
        <f>MAX(D16:J16)</f>
        <v>1.2706602107</v>
      </c>
      <c r="N16" s="252" t="s">
        <v>254</v>
      </c>
      <c r="O16" s="247" t="s">
        <v>252</v>
      </c>
      <c r="P16" s="241"/>
    </row>
    <row r="17" spans="1:16" ht="21" customHeight="1">
      <c r="A17" s="248">
        <v>10</v>
      </c>
      <c r="B17" s="241" t="s">
        <v>120</v>
      </c>
      <c r="C17" s="258" t="s">
        <v>121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101</v>
      </c>
      <c r="M17" s="251">
        <f t="shared" si="0"/>
        <v>1.0355882019</v>
      </c>
      <c r="N17" s="252" t="s">
        <v>254</v>
      </c>
      <c r="O17" s="247" t="s">
        <v>253</v>
      </c>
      <c r="P17" s="241" t="s">
        <v>118</v>
      </c>
    </row>
    <row r="18" spans="1:16" ht="21" customHeight="1">
      <c r="A18" s="248">
        <v>11</v>
      </c>
      <c r="B18" s="241" t="s">
        <v>122</v>
      </c>
      <c r="C18" s="258" t="s">
        <v>123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100</v>
      </c>
      <c r="M18" s="251">
        <f t="shared" si="0"/>
        <v>1.1401797148999999</v>
      </c>
      <c r="N18" s="252" t="s">
        <v>254</v>
      </c>
      <c r="O18" s="247" t="s">
        <v>253</v>
      </c>
      <c r="P18" s="241" t="s">
        <v>124</v>
      </c>
    </row>
    <row r="19" spans="1:16" ht="21" customHeight="1">
      <c r="A19" s="248">
        <v>12</v>
      </c>
      <c r="B19" s="241" t="s">
        <v>126</v>
      </c>
      <c r="C19" s="258" t="s">
        <v>127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99</v>
      </c>
      <c r="M19" s="251">
        <f t="shared" si="0"/>
        <v>1.0552346931000001</v>
      </c>
      <c r="N19" s="252" t="s">
        <v>254</v>
      </c>
      <c r="O19" s="247" t="s">
        <v>253</v>
      </c>
      <c r="P19" s="241" t="s">
        <v>110</v>
      </c>
    </row>
    <row r="20" spans="1:16" ht="21" customHeight="1">
      <c r="A20" s="248">
        <v>13</v>
      </c>
      <c r="B20" s="241" t="s">
        <v>128</v>
      </c>
      <c r="C20" s="258" t="s">
        <v>129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96</v>
      </c>
      <c r="M20" s="251">
        <f t="shared" si="0"/>
        <v>1.0865859003</v>
      </c>
      <c r="N20" s="252" t="s">
        <v>254</v>
      </c>
      <c r="O20" s="247" t="s">
        <v>253</v>
      </c>
      <c r="P20" s="241" t="s">
        <v>112</v>
      </c>
    </row>
    <row r="21" spans="1:16" ht="24.75" customHeight="1">
      <c r="A21" s="248">
        <v>14</v>
      </c>
      <c r="B21" s="241" t="s">
        <v>130</v>
      </c>
      <c r="C21" s="258" t="s">
        <v>131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97</v>
      </c>
      <c r="M21" s="251">
        <f t="shared" si="0"/>
        <v>1.0522626697461936</v>
      </c>
      <c r="N21" s="252" t="s">
        <v>254</v>
      </c>
      <c r="O21" s="247" t="s">
        <v>253</v>
      </c>
      <c r="P21" s="241" t="s">
        <v>118</v>
      </c>
    </row>
    <row r="22" spans="1:16" ht="25.5">
      <c r="A22" s="248">
        <v>15</v>
      </c>
      <c r="B22" s="241" t="s">
        <v>132</v>
      </c>
      <c r="C22" s="259" t="s">
        <v>133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97</v>
      </c>
      <c r="M22" s="251">
        <f>MAX(D22:J22)</f>
        <v>1.03</v>
      </c>
      <c r="N22" s="252" t="s">
        <v>254</v>
      </c>
      <c r="O22" s="247" t="s">
        <v>253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Brand, Christian</cp:lastModifiedBy>
  <cp:lastPrinted>2015-03-20T22:59:10Z</cp:lastPrinted>
  <dcterms:created xsi:type="dcterms:W3CDTF">2015-01-15T05:25:41Z</dcterms:created>
  <dcterms:modified xsi:type="dcterms:W3CDTF">2016-09-20T12:12:01Z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